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updateLinks="never" defaultThemeVersion="124226"/>
  <mc:AlternateContent xmlns:mc="http://schemas.openxmlformats.org/markup-compatibility/2006">
    <mc:Choice Requires="x15">
      <x15ac:absPath xmlns:x15ac="http://schemas.microsoft.com/office/spreadsheetml/2010/11/ac" url="C:\Users\dmould\Documents\"/>
    </mc:Choice>
  </mc:AlternateContent>
  <xr:revisionPtr revIDLastSave="0" documentId="8_{7F5A41A5-3905-4EA3-B31B-E860E7501851}" xr6:coauthVersionLast="36" xr6:coauthVersionMax="36" xr10:uidLastSave="{00000000-0000-0000-0000-000000000000}"/>
  <workbookProtection workbookPassword="C3C4" lockStructure="1"/>
  <bookViews>
    <workbookView xWindow="0" yWindow="0" windowWidth="19200" windowHeight="11388" tabRatio="780" firstSheet="4" activeTab="4" xr2:uid="{00000000-000D-0000-FFFF-FFFF00000000}"/>
  </bookViews>
  <sheets>
    <sheet name="Carrie Notes" sheetId="71" state="hidden" r:id="rId1"/>
    <sheet name="Addl Info" sheetId="11" state="hidden" r:id="rId2"/>
    <sheet name="CAUTAU" sheetId="54" state="hidden" r:id="rId3"/>
    <sheet name="Allocations" sheetId="10" state="hidden" r:id="rId4"/>
    <sheet name="2019 New Form" sheetId="70" r:id="rId5"/>
    <sheet name="General Instructions" sheetId="15" r:id="rId6"/>
    <sheet name="Column Definitions" sheetId="91" r:id="rId7"/>
    <sheet name="Service Definitions" sheetId="92" r:id="rId8"/>
    <sheet name="NEW EBS INSTRUCTIONS" sheetId="49" r:id="rId9"/>
    <sheet name="I&amp;A Replacement Instructions" sheetId="38" r:id="rId10"/>
    <sheet name="Notes to GWAAR" sheetId="39" r:id="rId11"/>
    <sheet name="Certificate of Claim CAU" sheetId="12" state="hidden" r:id="rId12"/>
    <sheet name="Cert of Claim Legal Action" sheetId="72" state="hidden" r:id="rId13"/>
    <sheet name="Certificate of Claim TAU" sheetId="68" state="hidden" r:id="rId14"/>
    <sheet name="Cert. of Claim Menominee Tribe" sheetId="69" r:id="rId15"/>
    <sheet name="III-B - #11619" sheetId="1" r:id="rId16"/>
    <sheet name="III-B Other Services" sheetId="52" r:id="rId17"/>
    <sheet name="III-C 1 - #12019" sheetId="7" r:id="rId18"/>
    <sheet name="III-C2 - #12119" sheetId="57" r:id="rId19"/>
    <sheet name="NSIP 17-18 - #13218" sheetId="14" state="hidden" r:id="rId20"/>
    <sheet name="NSIP 18-19 - #13219" sheetId="58" r:id="rId21"/>
    <sheet name="III-D - #12419" sheetId="9" r:id="rId22"/>
    <sheet name="III-E - #12519" sheetId="8" r:id="rId23"/>
    <sheet name="Alzheimers FC Support - #122182" sheetId="16" state="hidden" r:id="rId24"/>
    <sheet name="Alzheimers FC Support - #12219" sheetId="85" r:id="rId25"/>
    <sheet name="SCS - #11519" sheetId="4" r:id="rId26"/>
    <sheet name="SCS Other Services" sheetId="59" r:id="rId27"/>
    <sheet name="Benefit Spec" sheetId="2" state="hidden" r:id="rId28"/>
    <sheet name="Ben Spec Other Repl - #73019" sheetId="35" r:id="rId29"/>
    <sheet name="Benefit Spec I&amp;A Repl #72019" sheetId="34" r:id="rId30"/>
    <sheet name="Elder Abuse - #12319" sheetId="17" state="hidden" r:id="rId31"/>
    <sheet name="EBS OCI Repl (SPAP)17-18-#13018" sheetId="74" state="hidden" r:id="rId32"/>
    <sheet name="EBS OCI Repl 17-18-#74009 75010" sheetId="43" state="hidden" r:id="rId33"/>
    <sheet name="EBS OCI Repl-Othr 17-18-#75009 " sheetId="44" state="hidden" r:id="rId34"/>
    <sheet name="EBS OCI Repl (SPAP)18-19-#13019" sheetId="42" r:id="rId35"/>
    <sheet name="EBS OCI Repl 18-19-#74009 75010" sheetId="75" r:id="rId36"/>
    <sheet name="EBS OCI Repl-Othr 18-19-#75009" sheetId="76" r:id="rId37"/>
    <sheet name="SHIP Original 17-18 - #12718" sheetId="22" state="hidden" r:id="rId38"/>
    <sheet name="SHIP Original 18-19 - #12719" sheetId="45" r:id="rId39"/>
    <sheet name="MIPPA 17-18 - #75018" sheetId="41" state="hidden" r:id="rId40"/>
    <sheet name="Other" sheetId="48" state="hidden" r:id="rId41"/>
    <sheet name="Other Services (2)" sheetId="60" state="hidden" r:id="rId42"/>
    <sheet name="MIPPA 18-19 - #75019" sheetId="86" r:id="rId43"/>
    <sheet name="Summary" sheetId="25" r:id="rId44"/>
    <sheet name="Summary Tribes" sheetId="67" state="hidden" r:id="rId45"/>
    <sheet name="Summary Other Svcs" sheetId="65" r:id="rId46"/>
    <sheet name="180A" sheetId="61" state="hidden" r:id="rId47"/>
    <sheet name="180B IIIB" sheetId="79" state="hidden" r:id="rId48"/>
    <sheet name="180B IIIC1" sheetId="80" state="hidden" r:id="rId49"/>
    <sheet name="180B IIIC2" sheetId="81" state="hidden" r:id="rId50"/>
    <sheet name="180B IIID" sheetId="82" state="hidden" r:id="rId51"/>
    <sheet name="180B IIIE Age 60+ or EOD" sheetId="84" state="hidden" r:id="rId52"/>
    <sheet name="180B IIIE 18 and under or Disbl" sheetId="83" state="hidden" r:id="rId53"/>
    <sheet name="180B Ind Sum" sheetId="93" state="hidden" r:id="rId54"/>
    <sheet name="SRT Main" sheetId="87" state="hidden" r:id="rId55"/>
    <sheet name="SRT IIIE Tab 1" sheetId="89" state="hidden" r:id="rId56"/>
    <sheet name="SRT IIIE Tab 2" sheetId="88" state="hidden" r:id="rId57"/>
    <sheet name="SRT Other" sheetId="90" state="hidden" r:id="rId58"/>
  </sheets>
  <definedNames>
    <definedName name="_xlnm._FilterDatabase" localSheetId="3" hidden="1">Allocations!$A$4:$A$80</definedName>
    <definedName name="_xlnm._FilterDatabase" localSheetId="2" hidden="1">CAUTAU!$A$5:$A$81</definedName>
    <definedName name="CAU">CAUTAU!$A$4:$A$81</definedName>
    <definedName name="CAUTAU" localSheetId="2">CAUTAU!$A$4:$A$81</definedName>
    <definedName name="CAUTAU">Allocations!$A$4:$A$92</definedName>
    <definedName name="ClaimMonth">'Addl Info'!$A$3:$A$15</definedName>
    <definedName name="Date">'Addl Info'!$A$21:$A$33</definedName>
    <definedName name="lookup">'III-B - #11619'!$G$3</definedName>
    <definedName name="men">CAUTAU!$A$96</definedName>
    <definedName name="Menominee_Tribe">CAUTAU!$A$96</definedName>
    <definedName name="mentribe">CAUTAU!$A$96</definedName>
    <definedName name="MIPPA">'Addl Info'!$J$21:$J$33</definedName>
    <definedName name="NSIP1">'Addl Info'!$C$21:$C$33</definedName>
    <definedName name="NSIP2">'Addl Info'!$D$21:$D$33</definedName>
    <definedName name="_xlnm.Print_Area" localSheetId="3">Allocations!$A$1:$N$80</definedName>
    <definedName name="_xlnm.Print_Area" localSheetId="28">'Ben Spec Other Repl - #73019'!$A$1:$M$53</definedName>
    <definedName name="_xlnm.Print_Area" localSheetId="27">'Benefit Spec'!$A$1:$M$54</definedName>
    <definedName name="_xlnm.Print_Area" localSheetId="2">CAUTAU!$A$1:$A$84</definedName>
    <definedName name="_xlnm.Print_Area" localSheetId="12">'Cert of Claim Legal Action'!$A$1:$K$54</definedName>
    <definedName name="_xlnm.Print_Area" localSheetId="14">'Cert. of Claim Menominee Tribe'!$A$1:$K$54</definedName>
    <definedName name="_xlnm.Print_Area" localSheetId="11">'Certificate of Claim CAU'!$A$1:$K$54</definedName>
    <definedName name="_xlnm.Print_Area" localSheetId="13">'Certificate of Claim TAU'!$A$1:$K$54</definedName>
    <definedName name="_xlnm.Print_Area" localSheetId="31">'EBS OCI Repl (SPAP)17-18-#13018'!$A$1:$M$53</definedName>
    <definedName name="_xlnm.Print_Area" localSheetId="34">'EBS OCI Repl (SPAP)18-19-#13019'!$A$1:$M$53</definedName>
    <definedName name="_xlnm.Print_Area" localSheetId="32">'EBS OCI Repl 17-18-#74009 75010'!$A$1:$M$53</definedName>
    <definedName name="_xlnm.Print_Area" localSheetId="35">'EBS OCI Repl 18-19-#74009 75010'!$A$1:$M$53</definedName>
    <definedName name="_xlnm.Print_Area" localSheetId="33">'EBS OCI Repl-Othr 17-18-#75009 '!$A$1:$M$53</definedName>
    <definedName name="_xlnm.Print_Area" localSheetId="36">'EBS OCI Repl-Othr 18-19-#75009'!$A$1:$M$53</definedName>
    <definedName name="_xlnm.Print_Area" localSheetId="5">'General Instructions'!$A$1:$R$36</definedName>
    <definedName name="_xlnm.Print_Area" localSheetId="9">'I&amp;A Replacement Instructions'!$A$1:$A$15</definedName>
    <definedName name="_xlnm.Print_Area" localSheetId="15">'III-B - #11619'!$A$1:$M$51</definedName>
    <definedName name="_xlnm.Print_Area" localSheetId="16">'III-B Other Services'!$A$1:$M$51</definedName>
    <definedName name="_xlnm.Print_Area" localSheetId="17">'III-C 1 - #12019'!$A$1:$M$51</definedName>
    <definedName name="_xlnm.Print_Area" localSheetId="18">'III-C2 - #12119'!$A$1:$M$51</definedName>
    <definedName name="_xlnm.Print_Area" localSheetId="21">'III-D - #12419'!$A$1:$M$51</definedName>
    <definedName name="_xlnm.Print_Area" localSheetId="22">'III-E - #12519'!$A$1:$M$64</definedName>
    <definedName name="_xlnm.Print_Area" localSheetId="19">'NSIP 17-18 - #13218'!$A$1:$M$51</definedName>
    <definedName name="_xlnm.Print_Area" localSheetId="20">'NSIP 18-19 - #13219'!$A$1:$M$51</definedName>
    <definedName name="_xlnm.Print_Area" localSheetId="41">'Other Services (2)'!$A$1:$M$53</definedName>
    <definedName name="_xlnm.Print_Area" localSheetId="26">'SCS Other Services'!$A$1:$M$53</definedName>
    <definedName name="_xlnm.Print_Area" localSheetId="7">'Service Definitions'!$A$1:$E$367</definedName>
    <definedName name="_xlnm.Print_Area" localSheetId="37">'SHIP Original 17-18 - #12718'!$A$1:$M$52</definedName>
    <definedName name="_xlnm.Print_Area" localSheetId="38">'SHIP Original 18-19 - #12719'!$A$1:$M$53</definedName>
    <definedName name="_xlnm.Print_Area" localSheetId="43">Summary!$A$1:$J$52</definedName>
    <definedName name="_xlnm.Print_Area" localSheetId="45">'Summary Other Svcs'!$A$1:$J$35</definedName>
    <definedName name="_xlnm.Print_Area" localSheetId="44">'Summary Tribes'!$A$1:$J$38</definedName>
    <definedName name="_xlnm.Print_Titles" localSheetId="3">Allocations!$A:$C,Allocations!$1:$3</definedName>
    <definedName name="_xlnm.Print_Titles" localSheetId="2">CAUTAU!$A:$A,CAUTAU!$1:$3</definedName>
    <definedName name="_xlnm.Print_Titles" localSheetId="6">'Column Definitions'!$3:$3</definedName>
    <definedName name="_xlnm.Print_Titles" localSheetId="7">'Service Definitions'!$1:$1</definedName>
    <definedName name="SHIP1">'Addl Info'!$G$21:$G$33</definedName>
    <definedName name="SHIP2">'Addl Info'!$H$21:$H$33</definedName>
    <definedName name="SPAP1">'Addl Info'!$E$21:$E$33</definedName>
    <definedName name="SPAP2">'Addl Info'!$F$21:$F$33</definedName>
    <definedName name="TAU">CAUTAU!$A$83:$A$94</definedName>
    <definedName name="TitleIII">'Addl Info'!$B$21:$B$33</definedName>
    <definedName name="Z_89953FCB_456A_4C2D_8912_B30825F750D3_.wvu.FilterData" localSheetId="3" hidden="1">Allocations!$A$4:$A$80</definedName>
    <definedName name="Z_89953FCB_456A_4C2D_8912_B30825F750D3_.wvu.FilterData" localSheetId="2" hidden="1">CAUTAU!$A$5:$A$81</definedName>
    <definedName name="Z_89953FCB_456A_4C2D_8912_B30825F750D3_.wvu.PrintArea" localSheetId="3" hidden="1">Allocations!$A$1:$N$80</definedName>
    <definedName name="Z_89953FCB_456A_4C2D_8912_B30825F750D3_.wvu.PrintArea" localSheetId="2" hidden="1">CAUTAU!$A$1:$A$84</definedName>
    <definedName name="Z_89953FCB_456A_4C2D_8912_B30825F750D3_.wvu.PrintArea" localSheetId="12" hidden="1">'Cert of Claim Legal Action'!$A$1:$K$54</definedName>
    <definedName name="Z_89953FCB_456A_4C2D_8912_B30825F750D3_.wvu.PrintArea" localSheetId="14" hidden="1">'Cert. of Claim Menominee Tribe'!$A$1:$K$54</definedName>
    <definedName name="Z_89953FCB_456A_4C2D_8912_B30825F750D3_.wvu.PrintArea" localSheetId="11" hidden="1">'Certificate of Claim CAU'!$A$1:$K$54</definedName>
    <definedName name="Z_89953FCB_456A_4C2D_8912_B30825F750D3_.wvu.PrintArea" localSheetId="13" hidden="1">'Certificate of Claim TAU'!$A$1:$K$54</definedName>
    <definedName name="Z_89953FCB_456A_4C2D_8912_B30825F750D3_.wvu.PrintArea" localSheetId="5" hidden="1">'General Instructions'!$A$1:$R$36</definedName>
    <definedName name="Z_89953FCB_456A_4C2D_8912_B30825F750D3_.wvu.PrintArea" localSheetId="9" hidden="1">'I&amp;A Replacement Instructions'!$A$1:$A$15</definedName>
    <definedName name="Z_89953FCB_456A_4C2D_8912_B30825F750D3_.wvu.PrintArea" localSheetId="43" hidden="1">Summary!$A$1:$J$57</definedName>
    <definedName name="Z_89953FCB_456A_4C2D_8912_B30825F750D3_.wvu.PrintArea" localSheetId="45" hidden="1">'Summary Other Svcs'!$A$1:$J$35</definedName>
    <definedName name="Z_89953FCB_456A_4C2D_8912_B30825F750D3_.wvu.PrintArea" localSheetId="44" hidden="1">'Summary Tribes'!$A$1:$J$38</definedName>
    <definedName name="Z_89953FCB_456A_4C2D_8912_B30825F750D3_.wvu.PrintTitles" localSheetId="3" hidden="1">Allocations!$A:$C,Allocations!$1:$3</definedName>
    <definedName name="Z_89953FCB_456A_4C2D_8912_B30825F750D3_.wvu.PrintTitles" localSheetId="2" hidden="1">CAUTAU!$A:$A,CAUTAU!$1:$3</definedName>
    <definedName name="Z_89953FCB_456A_4C2D_8912_B30825F750D3_.wvu.Rows" localSheetId="16" hidden="1">'III-B Other Services'!$28:$28</definedName>
    <definedName name="Z_89953FCB_456A_4C2D_8912_B30825F750D3_.wvu.Rows" localSheetId="41" hidden="1">'Other Services (2)'!$28:$28</definedName>
    <definedName name="Z_89953FCB_456A_4C2D_8912_B30825F750D3_.wvu.Rows" localSheetId="26" hidden="1">'SCS Other Services'!$28:$28</definedName>
  </definedNames>
  <calcPr calcId="191028"/>
  <customWorkbookViews>
    <customWorkbookView name="display" guid="{89953FCB-456A-4C2D-8912-B30825F750D3}" maximized="1" xWindow="-8" yWindow="-8" windowWidth="1296" windowHeight="1000" activeSheetId="1" showFormulaBar="0"/>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8" i="67" l="1"/>
  <c r="H28" i="67"/>
  <c r="G28" i="67"/>
  <c r="F28" i="67"/>
  <c r="E28" i="67"/>
  <c r="D28" i="67"/>
  <c r="C28" i="67"/>
  <c r="B28" i="67"/>
  <c r="J28" i="67" s="1"/>
  <c r="J27" i="67"/>
  <c r="I26" i="67"/>
  <c r="H26" i="67"/>
  <c r="G26" i="67"/>
  <c r="F26" i="67"/>
  <c r="E26" i="67"/>
  <c r="D26" i="67"/>
  <c r="C26" i="67"/>
  <c r="B26" i="67"/>
  <c r="J26" i="67" s="1"/>
  <c r="I25" i="67"/>
  <c r="H25" i="67"/>
  <c r="G25" i="67"/>
  <c r="F25" i="67"/>
  <c r="E25" i="67"/>
  <c r="D25" i="67"/>
  <c r="C25" i="67"/>
  <c r="B25" i="67"/>
  <c r="J25" i="67" s="1"/>
  <c r="I24" i="67"/>
  <c r="H24" i="67"/>
  <c r="G24" i="67"/>
  <c r="F24" i="67"/>
  <c r="E24" i="67"/>
  <c r="D24" i="67"/>
  <c r="C24" i="67"/>
  <c r="B24" i="67"/>
  <c r="J24" i="67" s="1"/>
  <c r="I23" i="67"/>
  <c r="H23" i="67"/>
  <c r="G23" i="67"/>
  <c r="F23" i="67"/>
  <c r="E23" i="67"/>
  <c r="D23" i="67"/>
  <c r="C23" i="67"/>
  <c r="B23" i="67"/>
  <c r="J23" i="67" s="1"/>
  <c r="I22" i="67"/>
  <c r="H22" i="67"/>
  <c r="G22" i="67"/>
  <c r="F22" i="67"/>
  <c r="E22" i="67"/>
  <c r="D22" i="67"/>
  <c r="C22" i="67"/>
  <c r="B22" i="67"/>
  <c r="J22" i="67" s="1"/>
  <c r="I21" i="67"/>
  <c r="H21" i="67"/>
  <c r="G21" i="67"/>
  <c r="F21" i="67"/>
  <c r="E21" i="67"/>
  <c r="D21" i="67"/>
  <c r="C21" i="67"/>
  <c r="B21" i="67"/>
  <c r="J21" i="67" s="1"/>
  <c r="I20" i="67"/>
  <c r="H20" i="67"/>
  <c r="G20" i="67"/>
  <c r="F20" i="67"/>
  <c r="E20" i="67"/>
  <c r="D20" i="67"/>
  <c r="C20" i="67"/>
  <c r="B20" i="67"/>
  <c r="J20" i="67" s="1"/>
  <c r="I19" i="67"/>
  <c r="H19" i="67"/>
  <c r="G19" i="67"/>
  <c r="F19" i="67"/>
  <c r="E19" i="67"/>
  <c r="D19" i="67"/>
  <c r="C19" i="67"/>
  <c r="B19" i="67"/>
  <c r="J19" i="67" s="1"/>
  <c r="I18" i="67"/>
  <c r="H18" i="67"/>
  <c r="G18" i="67"/>
  <c r="F18" i="67"/>
  <c r="E18" i="67"/>
  <c r="D18" i="67"/>
  <c r="C18" i="67"/>
  <c r="B18" i="67"/>
  <c r="J18" i="67" s="1"/>
  <c r="I17" i="67"/>
  <c r="H17" i="67"/>
  <c r="G17" i="67"/>
  <c r="F17" i="67"/>
  <c r="E17" i="67"/>
  <c r="D17" i="67"/>
  <c r="C17" i="67"/>
  <c r="B17" i="67"/>
  <c r="J17" i="67" s="1"/>
  <c r="I16" i="67"/>
  <c r="H16" i="67"/>
  <c r="G16" i="67"/>
  <c r="F16" i="67"/>
  <c r="E16" i="67"/>
  <c r="D16" i="67"/>
  <c r="C16" i="67"/>
  <c r="B16" i="67"/>
  <c r="J16" i="67" s="1"/>
  <c r="I15" i="67"/>
  <c r="H15" i="67"/>
  <c r="G15" i="67"/>
  <c r="F15" i="67"/>
  <c r="E15" i="67"/>
  <c r="D15" i="67"/>
  <c r="C15" i="67"/>
  <c r="B15" i="67"/>
  <c r="J15" i="67" s="1"/>
  <c r="I14" i="67"/>
  <c r="H14" i="67"/>
  <c r="G14" i="67"/>
  <c r="F14" i="67"/>
  <c r="E14" i="67"/>
  <c r="D14" i="67"/>
  <c r="C14" i="67"/>
  <c r="B14" i="67"/>
  <c r="J14" i="67" s="1"/>
  <c r="I13" i="67"/>
  <c r="H13" i="67"/>
  <c r="G13" i="67"/>
  <c r="F13" i="67"/>
  <c r="E13" i="67"/>
  <c r="D13" i="67"/>
  <c r="C13" i="67"/>
  <c r="B13" i="67"/>
  <c r="J13" i="67" s="1"/>
  <c r="I12" i="67"/>
  <c r="H12" i="67"/>
  <c r="G12" i="67"/>
  <c r="F12" i="67"/>
  <c r="E12" i="67"/>
  <c r="D12" i="67"/>
  <c r="C12" i="67"/>
  <c r="B12" i="67"/>
  <c r="J12" i="67" s="1"/>
  <c r="I11" i="67"/>
  <c r="H11" i="67"/>
  <c r="G11" i="67"/>
  <c r="F11" i="67"/>
  <c r="E11" i="67"/>
  <c r="D11" i="67"/>
  <c r="C11" i="67"/>
  <c r="B11" i="67"/>
  <c r="J11" i="67" s="1"/>
  <c r="I10" i="67"/>
  <c r="H10" i="67"/>
  <c r="G10" i="67"/>
  <c r="F10" i="67"/>
  <c r="E10" i="67"/>
  <c r="D10" i="67"/>
  <c r="C10" i="67"/>
  <c r="B10" i="67"/>
  <c r="J10" i="67" s="1"/>
  <c r="H44" i="84" l="1"/>
  <c r="D15" i="89"/>
  <c r="H35" i="84"/>
  <c r="H43" i="84"/>
  <c r="D13" i="89"/>
  <c r="H42" i="84"/>
  <c r="D8" i="89"/>
  <c r="H39" i="84"/>
  <c r="H40" i="84"/>
  <c r="H41" i="84"/>
  <c r="D7" i="89"/>
  <c r="H36" i="84"/>
  <c r="H37" i="84"/>
  <c r="H38" i="84"/>
  <c r="D6" i="89"/>
  <c r="B44" i="84"/>
  <c r="C44" i="84"/>
  <c r="D44" i="84"/>
  <c r="E44" i="84"/>
  <c r="F44" i="84"/>
  <c r="G44" i="84"/>
  <c r="I44" i="84"/>
  <c r="C15" i="89"/>
  <c r="B35" i="84"/>
  <c r="C35" i="84"/>
  <c r="D35" i="84"/>
  <c r="E35" i="84"/>
  <c r="F35" i="84"/>
  <c r="G35" i="84"/>
  <c r="I35" i="84"/>
  <c r="B43" i="84"/>
  <c r="C43" i="84"/>
  <c r="D43" i="84"/>
  <c r="E43" i="84"/>
  <c r="F43" i="84"/>
  <c r="G43" i="84"/>
  <c r="I43" i="84"/>
  <c r="C13" i="89"/>
  <c r="B42" i="84"/>
  <c r="C42" i="84"/>
  <c r="D42" i="84"/>
  <c r="E42" i="84"/>
  <c r="F42" i="84"/>
  <c r="G42" i="84"/>
  <c r="I42" i="84"/>
  <c r="C8" i="89"/>
  <c r="B39" i="84"/>
  <c r="C39" i="84"/>
  <c r="D39" i="84"/>
  <c r="E39" i="84"/>
  <c r="F39" i="84"/>
  <c r="G39" i="84"/>
  <c r="I39" i="84"/>
  <c r="B40" i="84"/>
  <c r="C40" i="84"/>
  <c r="D40" i="84"/>
  <c r="E40" i="84"/>
  <c r="F40" i="84"/>
  <c r="G40" i="84"/>
  <c r="I40" i="84"/>
  <c r="B41" i="84"/>
  <c r="C41" i="84"/>
  <c r="D41" i="84"/>
  <c r="E41" i="84"/>
  <c r="F41" i="84"/>
  <c r="G41" i="84"/>
  <c r="I41" i="84"/>
  <c r="C7" i="89"/>
  <c r="B36" i="84"/>
  <c r="C36" i="84"/>
  <c r="D36" i="84"/>
  <c r="E36" i="84"/>
  <c r="F36" i="84"/>
  <c r="G36" i="84"/>
  <c r="I36" i="84"/>
  <c r="B37" i="84"/>
  <c r="C37" i="84"/>
  <c r="D37" i="84"/>
  <c r="E37" i="84"/>
  <c r="F37" i="84"/>
  <c r="G37" i="84"/>
  <c r="I37" i="84"/>
  <c r="B38" i="84"/>
  <c r="C38" i="84"/>
  <c r="D38" i="84"/>
  <c r="E38" i="84"/>
  <c r="F38" i="84"/>
  <c r="G38" i="84"/>
  <c r="I38" i="84"/>
  <c r="C6" i="89"/>
  <c r="B15" i="89"/>
  <c r="B13" i="89"/>
  <c r="B8" i="89"/>
  <c r="B7" i="89"/>
  <c r="B6" i="89"/>
  <c r="H44" i="83"/>
  <c r="D15" i="88"/>
  <c r="H35" i="83"/>
  <c r="H43" i="83"/>
  <c r="D13" i="88"/>
  <c r="H42" i="83"/>
  <c r="D8" i="88"/>
  <c r="H39" i="83"/>
  <c r="H40" i="83"/>
  <c r="H41" i="83"/>
  <c r="D7" i="88"/>
  <c r="H36" i="83"/>
  <c r="H37" i="83"/>
  <c r="H38" i="83"/>
  <c r="D6" i="88"/>
  <c r="B44" i="83"/>
  <c r="C44" i="83"/>
  <c r="D44" i="83"/>
  <c r="E44" i="83"/>
  <c r="F44" i="83"/>
  <c r="G44" i="83"/>
  <c r="I44" i="83"/>
  <c r="C15" i="88"/>
  <c r="B35" i="83"/>
  <c r="C35" i="83"/>
  <c r="D35" i="83"/>
  <c r="E35" i="83"/>
  <c r="F35" i="83"/>
  <c r="G35" i="83"/>
  <c r="I35" i="83"/>
  <c r="B43" i="83"/>
  <c r="C43" i="83"/>
  <c r="D43" i="83"/>
  <c r="E43" i="83"/>
  <c r="F43" i="83"/>
  <c r="G43" i="83"/>
  <c r="I43" i="83"/>
  <c r="C13" i="88"/>
  <c r="B42" i="83"/>
  <c r="C42" i="83"/>
  <c r="D42" i="83"/>
  <c r="E42" i="83"/>
  <c r="F42" i="83"/>
  <c r="G42" i="83"/>
  <c r="I42" i="83"/>
  <c r="C8" i="88"/>
  <c r="B39" i="83"/>
  <c r="C39" i="83"/>
  <c r="D39" i="83"/>
  <c r="E39" i="83"/>
  <c r="F39" i="83"/>
  <c r="G39" i="83"/>
  <c r="I39" i="83"/>
  <c r="B40" i="83"/>
  <c r="C40" i="83"/>
  <c r="D40" i="83"/>
  <c r="E40" i="83"/>
  <c r="F40" i="83"/>
  <c r="G40" i="83"/>
  <c r="I40" i="83"/>
  <c r="B41" i="83"/>
  <c r="C41" i="83"/>
  <c r="D41" i="83"/>
  <c r="E41" i="83"/>
  <c r="F41" i="83"/>
  <c r="G41" i="83"/>
  <c r="I41" i="83"/>
  <c r="C7" i="88"/>
  <c r="B13" i="88"/>
  <c r="B36" i="83"/>
  <c r="C36" i="83"/>
  <c r="D36" i="83"/>
  <c r="E36" i="83"/>
  <c r="F36" i="83"/>
  <c r="G36" i="83"/>
  <c r="I36" i="83"/>
  <c r="B37" i="83"/>
  <c r="C37" i="83"/>
  <c r="D37" i="83"/>
  <c r="E37" i="83"/>
  <c r="F37" i="83"/>
  <c r="G37" i="83"/>
  <c r="I37" i="83"/>
  <c r="B38" i="83"/>
  <c r="C38" i="83"/>
  <c r="D38" i="83"/>
  <c r="E38" i="83"/>
  <c r="F38" i="83"/>
  <c r="G38" i="83"/>
  <c r="I38" i="83"/>
  <c r="C6" i="88"/>
  <c r="B15" i="88"/>
  <c r="B8" i="88"/>
  <c r="B7" i="88"/>
  <c r="B6" i="88"/>
  <c r="B35" i="93"/>
  <c r="B20" i="90"/>
  <c r="B24" i="93"/>
  <c r="B19" i="90"/>
  <c r="B34" i="93"/>
  <c r="B18" i="90"/>
  <c r="B33" i="93"/>
  <c r="B17" i="90"/>
  <c r="B32" i="93"/>
  <c r="B16" i="90"/>
  <c r="B31" i="93"/>
  <c r="B15" i="90"/>
  <c r="B29" i="93"/>
  <c r="B14" i="90"/>
  <c r="B19" i="93"/>
  <c r="B13" i="90"/>
  <c r="B18" i="93"/>
  <c r="E18" i="93"/>
  <c r="B12" i="90"/>
  <c r="B28" i="93"/>
  <c r="B11" i="90"/>
  <c r="B27" i="93"/>
  <c r="B10" i="90"/>
  <c r="B26" i="93"/>
  <c r="B9" i="90"/>
  <c r="B25" i="93"/>
  <c r="B8" i="90"/>
  <c r="B23" i="93"/>
  <c r="B7" i="90"/>
  <c r="B22" i="93"/>
  <c r="B6" i="90"/>
  <c r="B21" i="93"/>
  <c r="B5" i="90"/>
  <c r="B35" i="79"/>
  <c r="C35" i="79"/>
  <c r="D35" i="79"/>
  <c r="E35" i="79"/>
  <c r="F35" i="79"/>
  <c r="G35" i="79"/>
  <c r="H35" i="79"/>
  <c r="I35" i="79"/>
  <c r="J35" i="80"/>
  <c r="J35" i="81"/>
  <c r="I35" i="82"/>
  <c r="F35" i="93"/>
  <c r="C20" i="90"/>
  <c r="B24" i="79"/>
  <c r="C24" i="79"/>
  <c r="D24" i="79"/>
  <c r="E24" i="79"/>
  <c r="F24" i="79"/>
  <c r="G24" i="79"/>
  <c r="H24" i="79"/>
  <c r="I24" i="79"/>
  <c r="J24" i="80"/>
  <c r="J24" i="81"/>
  <c r="I24" i="82"/>
  <c r="F24" i="93"/>
  <c r="C19" i="90"/>
  <c r="B34" i="79"/>
  <c r="C34" i="79"/>
  <c r="D34" i="79"/>
  <c r="E34" i="79"/>
  <c r="F34" i="79"/>
  <c r="G34" i="79"/>
  <c r="H34" i="79"/>
  <c r="I34" i="79"/>
  <c r="J34" i="80"/>
  <c r="J34" i="81"/>
  <c r="I34" i="82"/>
  <c r="F34" i="93"/>
  <c r="C18" i="90"/>
  <c r="B33" i="79"/>
  <c r="C33" i="79"/>
  <c r="D33" i="79"/>
  <c r="E33" i="79"/>
  <c r="F33" i="79"/>
  <c r="G33" i="79"/>
  <c r="H33" i="79"/>
  <c r="I33" i="79"/>
  <c r="J33" i="80"/>
  <c r="J33" i="81"/>
  <c r="I33" i="82"/>
  <c r="F33" i="93"/>
  <c r="C17" i="90"/>
  <c r="B32" i="79"/>
  <c r="C32" i="79"/>
  <c r="D32" i="79"/>
  <c r="E32" i="79"/>
  <c r="F32" i="79"/>
  <c r="G32" i="79"/>
  <c r="H32" i="79"/>
  <c r="I32" i="79"/>
  <c r="J32" i="80"/>
  <c r="J32" i="81"/>
  <c r="I32" i="82"/>
  <c r="F32" i="93"/>
  <c r="C16" i="90"/>
  <c r="B31" i="79"/>
  <c r="C31" i="79"/>
  <c r="D31" i="79"/>
  <c r="E31" i="79"/>
  <c r="F31" i="79"/>
  <c r="G31" i="79"/>
  <c r="H31" i="79"/>
  <c r="I31" i="79"/>
  <c r="J31" i="80"/>
  <c r="J31" i="81"/>
  <c r="I31" i="82"/>
  <c r="F31" i="93"/>
  <c r="C15" i="90"/>
  <c r="B29" i="79"/>
  <c r="C29" i="79"/>
  <c r="D29" i="79"/>
  <c r="E29" i="79"/>
  <c r="F29" i="79"/>
  <c r="G29" i="79"/>
  <c r="H29" i="79"/>
  <c r="I29" i="79"/>
  <c r="J29" i="80"/>
  <c r="J29" i="81"/>
  <c r="I29" i="82"/>
  <c r="F29" i="93"/>
  <c r="C14" i="90"/>
  <c r="B19" i="79"/>
  <c r="C19" i="79"/>
  <c r="D19" i="79"/>
  <c r="E19" i="79"/>
  <c r="F19" i="79"/>
  <c r="G19" i="79"/>
  <c r="H19" i="79"/>
  <c r="I19" i="79"/>
  <c r="J19" i="80"/>
  <c r="J19" i="81"/>
  <c r="I19" i="82"/>
  <c r="F19" i="93"/>
  <c r="C13" i="90"/>
  <c r="B18" i="79"/>
  <c r="C18" i="79"/>
  <c r="D18" i="79"/>
  <c r="E18" i="79"/>
  <c r="F18" i="79"/>
  <c r="G18" i="79"/>
  <c r="H18" i="79"/>
  <c r="I18" i="79"/>
  <c r="J18" i="80"/>
  <c r="J18" i="81"/>
  <c r="B18" i="82"/>
  <c r="C18" i="82"/>
  <c r="D18" i="82"/>
  <c r="E18" i="82"/>
  <c r="F18" i="82"/>
  <c r="G18" i="82"/>
  <c r="H18" i="82"/>
  <c r="I18" i="82"/>
  <c r="F18" i="93"/>
  <c r="C12" i="90"/>
  <c r="B28" i="79"/>
  <c r="C28" i="79"/>
  <c r="D28" i="79"/>
  <c r="E28" i="79"/>
  <c r="F28" i="79"/>
  <c r="G28" i="79"/>
  <c r="H28" i="79"/>
  <c r="I28" i="79"/>
  <c r="J28" i="80"/>
  <c r="J28" i="81"/>
  <c r="I28" i="82"/>
  <c r="F28" i="93"/>
  <c r="C11" i="90"/>
  <c r="B27" i="79"/>
  <c r="C27" i="79"/>
  <c r="D27" i="79"/>
  <c r="E27" i="79"/>
  <c r="F27" i="79"/>
  <c r="G27" i="79"/>
  <c r="H27" i="79"/>
  <c r="I27" i="79"/>
  <c r="J27" i="80"/>
  <c r="J27" i="81"/>
  <c r="I27" i="82"/>
  <c r="F27" i="93"/>
  <c r="C10" i="90"/>
  <c r="B26" i="79"/>
  <c r="C26" i="79"/>
  <c r="D26" i="79"/>
  <c r="E26" i="79"/>
  <c r="F26" i="79"/>
  <c r="G26" i="79"/>
  <c r="H26" i="79"/>
  <c r="I26" i="79"/>
  <c r="J26" i="80"/>
  <c r="J26" i="81"/>
  <c r="I26" i="82"/>
  <c r="F26" i="93"/>
  <c r="C9" i="90"/>
  <c r="B25" i="79"/>
  <c r="C25" i="79"/>
  <c r="D25" i="79"/>
  <c r="E25" i="79"/>
  <c r="F25" i="79"/>
  <c r="G25" i="79"/>
  <c r="H25" i="79"/>
  <c r="I25" i="79"/>
  <c r="J25" i="80"/>
  <c r="J25" i="81"/>
  <c r="I25" i="82"/>
  <c r="F25" i="93"/>
  <c r="C8" i="90"/>
  <c r="B23" i="79"/>
  <c r="C23" i="79"/>
  <c r="D23" i="79"/>
  <c r="E23" i="79"/>
  <c r="F23" i="79"/>
  <c r="G23" i="79"/>
  <c r="H23" i="79"/>
  <c r="I23" i="79"/>
  <c r="J23" i="80"/>
  <c r="J23" i="81"/>
  <c r="I23" i="82"/>
  <c r="F23" i="93"/>
  <c r="C7" i="90"/>
  <c r="B22" i="79"/>
  <c r="C22" i="79"/>
  <c r="D22" i="79"/>
  <c r="E22" i="79"/>
  <c r="F22" i="79"/>
  <c r="G22" i="79"/>
  <c r="H22" i="79"/>
  <c r="I22" i="79"/>
  <c r="J22" i="80"/>
  <c r="J22" i="81"/>
  <c r="I22" i="82"/>
  <c r="F22" i="93"/>
  <c r="C6" i="90"/>
  <c r="B21" i="79"/>
  <c r="C21" i="79"/>
  <c r="D21" i="79"/>
  <c r="E21" i="79"/>
  <c r="F21" i="79"/>
  <c r="G21" i="79"/>
  <c r="H21" i="79"/>
  <c r="I21" i="79"/>
  <c r="J21" i="80"/>
  <c r="J21" i="81"/>
  <c r="I21" i="82"/>
  <c r="F21" i="93"/>
  <c r="C5" i="90"/>
  <c r="G35" i="17"/>
  <c r="J26" i="61"/>
  <c r="H15" i="79"/>
  <c r="G15" i="79"/>
  <c r="E15" i="79"/>
  <c r="D15" i="79"/>
  <c r="C15" i="79"/>
  <c r="F15" i="79"/>
  <c r="G8" i="81"/>
  <c r="G12" i="80"/>
  <c r="G11" i="80"/>
  <c r="F20" i="79"/>
  <c r="B6" i="79"/>
  <c r="C6" i="79"/>
  <c r="D6" i="79"/>
  <c r="E6" i="79"/>
  <c r="F6" i="79"/>
  <c r="G6" i="79"/>
  <c r="H6" i="79"/>
  <c r="B7" i="79"/>
  <c r="C7" i="79"/>
  <c r="D7" i="79"/>
  <c r="E7" i="79"/>
  <c r="F7" i="79"/>
  <c r="G7" i="79"/>
  <c r="H7" i="79"/>
  <c r="B9" i="79"/>
  <c r="C9" i="79"/>
  <c r="D9" i="79"/>
  <c r="E9" i="79"/>
  <c r="F9" i="79"/>
  <c r="G9" i="79"/>
  <c r="H9" i="79"/>
  <c r="B10" i="79"/>
  <c r="C10" i="79"/>
  <c r="D10" i="79"/>
  <c r="E10" i="79"/>
  <c r="F10" i="79"/>
  <c r="G10" i="79"/>
  <c r="H10" i="79"/>
  <c r="B12" i="79"/>
  <c r="C12" i="79"/>
  <c r="D12" i="79"/>
  <c r="E12" i="79"/>
  <c r="F12" i="79"/>
  <c r="G12" i="79"/>
  <c r="H12" i="79"/>
  <c r="B13" i="79"/>
  <c r="C13" i="79"/>
  <c r="D13" i="79"/>
  <c r="E13" i="79"/>
  <c r="F13" i="79"/>
  <c r="G13" i="79"/>
  <c r="H13" i="79"/>
  <c r="B14" i="79"/>
  <c r="C14" i="79"/>
  <c r="D14" i="79"/>
  <c r="E14" i="79"/>
  <c r="F14" i="79"/>
  <c r="G14" i="79"/>
  <c r="H14" i="79"/>
  <c r="B15" i="79"/>
  <c r="B16" i="79"/>
  <c r="C16" i="79"/>
  <c r="D16" i="79"/>
  <c r="E16" i="79"/>
  <c r="F16" i="79"/>
  <c r="G16" i="79"/>
  <c r="H16" i="79"/>
  <c r="B17" i="79"/>
  <c r="C17" i="79"/>
  <c r="D17" i="79"/>
  <c r="E17" i="79"/>
  <c r="F17" i="79"/>
  <c r="G17" i="79"/>
  <c r="H17" i="79"/>
  <c r="F5" i="79"/>
  <c r="E5" i="79"/>
  <c r="G35" i="35"/>
  <c r="G35" i="34"/>
  <c r="G35" i="42"/>
  <c r="G35" i="75"/>
  <c r="G35" i="76"/>
  <c r="G35" i="45"/>
  <c r="G35" i="86"/>
  <c r="I26" i="61"/>
  <c r="F35" i="35"/>
  <c r="F35" i="34"/>
  <c r="F35" i="42"/>
  <c r="F35" i="75"/>
  <c r="F35" i="76"/>
  <c r="F35" i="45"/>
  <c r="F35" i="86"/>
  <c r="I25" i="61"/>
  <c r="H35" i="85"/>
  <c r="K27" i="61"/>
  <c r="H35" i="17"/>
  <c r="J27" i="61"/>
  <c r="H35" i="52"/>
  <c r="H25" i="1"/>
  <c r="H26" i="1"/>
  <c r="H35" i="1"/>
  <c r="C27" i="61"/>
  <c r="H35" i="7"/>
  <c r="D27" i="61"/>
  <c r="H35" i="57"/>
  <c r="E27" i="61"/>
  <c r="H35" i="9"/>
  <c r="F27" i="61"/>
  <c r="H22" i="8"/>
  <c r="H36" i="8"/>
  <c r="H38" i="8"/>
  <c r="G27" i="61"/>
  <c r="H35" i="59"/>
  <c r="H25" i="4"/>
  <c r="H26" i="4"/>
  <c r="H35" i="4"/>
  <c r="H27" i="61"/>
  <c r="H35" i="35"/>
  <c r="H35" i="34"/>
  <c r="H35" i="42"/>
  <c r="H35" i="75"/>
  <c r="H35" i="76"/>
  <c r="H35" i="45"/>
  <c r="H35" i="86"/>
  <c r="I27" i="61"/>
  <c r="G35" i="59"/>
  <c r="G25" i="4"/>
  <c r="G26" i="4"/>
  <c r="G35" i="4"/>
  <c r="H26" i="61"/>
  <c r="F37" i="93"/>
  <c r="F38" i="93"/>
  <c r="F39" i="93"/>
  <c r="F40" i="93"/>
  <c r="F41" i="93"/>
  <c r="F42" i="93"/>
  <c r="F43" i="93"/>
  <c r="F44" i="93"/>
  <c r="F45" i="93"/>
  <c r="F36" i="93"/>
  <c r="J30" i="80"/>
  <c r="J30" i="81"/>
  <c r="I30" i="82"/>
  <c r="F30" i="93"/>
  <c r="E46" i="93"/>
  <c r="D16" i="93"/>
  <c r="D12" i="93"/>
  <c r="D8" i="93"/>
  <c r="C16" i="93"/>
  <c r="C12" i="93"/>
  <c r="C11" i="93"/>
  <c r="B20" i="93"/>
  <c r="B17" i="93"/>
  <c r="B16" i="93"/>
  <c r="B15" i="93"/>
  <c r="B14" i="93"/>
  <c r="B13" i="93"/>
  <c r="B12" i="93"/>
  <c r="B10" i="93"/>
  <c r="B9" i="93"/>
  <c r="B7" i="93"/>
  <c r="B6" i="93"/>
  <c r="B5" i="93"/>
  <c r="M21" i="86"/>
  <c r="L35" i="86"/>
  <c r="C35" i="86"/>
  <c r="M35" i="86"/>
  <c r="D35" i="86"/>
  <c r="E35" i="86"/>
  <c r="I35" i="86"/>
  <c r="J35" i="86"/>
  <c r="K35" i="86"/>
  <c r="B35" i="86"/>
  <c r="M21" i="45"/>
  <c r="C35" i="45"/>
  <c r="M35" i="45"/>
  <c r="D35" i="45"/>
  <c r="E35" i="45"/>
  <c r="I35" i="45"/>
  <c r="J35" i="45"/>
  <c r="K35" i="45"/>
  <c r="L35" i="45"/>
  <c r="B35" i="45"/>
  <c r="B11" i="25"/>
  <c r="C11" i="25"/>
  <c r="D11" i="25"/>
  <c r="E11" i="25"/>
  <c r="F11" i="25"/>
  <c r="G11" i="25"/>
  <c r="H11" i="25"/>
  <c r="I11" i="25"/>
  <c r="B12" i="25"/>
  <c r="C12" i="25"/>
  <c r="D12" i="25"/>
  <c r="E12" i="25"/>
  <c r="F12" i="25"/>
  <c r="G12" i="25"/>
  <c r="H12" i="25"/>
  <c r="I12" i="25"/>
  <c r="B13" i="25"/>
  <c r="C13" i="25"/>
  <c r="D13" i="25"/>
  <c r="E13" i="25"/>
  <c r="F13" i="25"/>
  <c r="G13" i="25"/>
  <c r="H13" i="25"/>
  <c r="I13" i="25"/>
  <c r="B14" i="25"/>
  <c r="C14" i="25"/>
  <c r="D14" i="25"/>
  <c r="E14" i="25"/>
  <c r="F14" i="25"/>
  <c r="G14" i="25"/>
  <c r="H14" i="25"/>
  <c r="I14" i="25"/>
  <c r="B15" i="25"/>
  <c r="C15" i="25"/>
  <c r="D15" i="25"/>
  <c r="E15" i="25"/>
  <c r="F15" i="25"/>
  <c r="G15" i="25"/>
  <c r="H15" i="25"/>
  <c r="I15" i="25"/>
  <c r="B16" i="25"/>
  <c r="C16" i="25"/>
  <c r="D16" i="25"/>
  <c r="E16" i="25"/>
  <c r="F16" i="25"/>
  <c r="G16" i="25"/>
  <c r="H16" i="25"/>
  <c r="I16" i="25"/>
  <c r="B17" i="25"/>
  <c r="C17" i="25"/>
  <c r="D17" i="25"/>
  <c r="E17" i="25"/>
  <c r="F17" i="25"/>
  <c r="G17" i="25"/>
  <c r="H17" i="25"/>
  <c r="I17" i="25"/>
  <c r="B18" i="25"/>
  <c r="C18" i="25"/>
  <c r="D18" i="25"/>
  <c r="E18" i="25"/>
  <c r="F18" i="25"/>
  <c r="G18" i="25"/>
  <c r="H18" i="25"/>
  <c r="I18" i="25"/>
  <c r="B19" i="25"/>
  <c r="C19" i="25"/>
  <c r="D19" i="25"/>
  <c r="E19" i="25"/>
  <c r="F19" i="25"/>
  <c r="G19" i="25"/>
  <c r="H19" i="25"/>
  <c r="I19" i="25"/>
  <c r="B20" i="25"/>
  <c r="C20" i="25"/>
  <c r="D20" i="25"/>
  <c r="E20" i="25"/>
  <c r="F20" i="25"/>
  <c r="G20" i="25"/>
  <c r="H20" i="25"/>
  <c r="I20" i="25"/>
  <c r="B21" i="25"/>
  <c r="C21" i="25"/>
  <c r="D21" i="25"/>
  <c r="E21" i="25"/>
  <c r="F21" i="25"/>
  <c r="G21" i="25"/>
  <c r="H21" i="25"/>
  <c r="I21" i="25"/>
  <c r="C22" i="8"/>
  <c r="B22" i="25"/>
  <c r="D22" i="8"/>
  <c r="C22" i="25"/>
  <c r="E22" i="8"/>
  <c r="D22" i="25"/>
  <c r="F22" i="8"/>
  <c r="E22" i="25"/>
  <c r="G22" i="8"/>
  <c r="F22" i="25"/>
  <c r="G22" i="25"/>
  <c r="J22" i="8"/>
  <c r="H22" i="25"/>
  <c r="L22" i="8"/>
  <c r="I22" i="25"/>
  <c r="B23" i="25"/>
  <c r="C23" i="25"/>
  <c r="D23" i="25"/>
  <c r="E23" i="25"/>
  <c r="F23" i="25"/>
  <c r="G23" i="25"/>
  <c r="H23" i="25"/>
  <c r="I23" i="25"/>
  <c r="B24" i="25"/>
  <c r="C24" i="25"/>
  <c r="D24" i="25"/>
  <c r="E24" i="25"/>
  <c r="F24" i="25"/>
  <c r="G24" i="25"/>
  <c r="H24" i="25"/>
  <c r="I24" i="25"/>
  <c r="D35" i="52"/>
  <c r="D25" i="1"/>
  <c r="D35" i="59"/>
  <c r="D25" i="4"/>
  <c r="C25" i="25"/>
  <c r="E35" i="52"/>
  <c r="E25" i="1"/>
  <c r="E35" i="59"/>
  <c r="E25" i="4"/>
  <c r="D25" i="25"/>
  <c r="F35" i="52"/>
  <c r="F25" i="1"/>
  <c r="F35" i="59"/>
  <c r="F25" i="4"/>
  <c r="F35" i="60"/>
  <c r="F25" i="48"/>
  <c r="E25" i="25"/>
  <c r="G35" i="52"/>
  <c r="G25" i="1"/>
  <c r="G35" i="60"/>
  <c r="G25" i="48"/>
  <c r="F25" i="25"/>
  <c r="H35" i="60"/>
  <c r="H25" i="48"/>
  <c r="G25" i="25"/>
  <c r="J35" i="52"/>
  <c r="J25" i="1"/>
  <c r="J35" i="59"/>
  <c r="J25" i="4"/>
  <c r="J35" i="60"/>
  <c r="J25" i="48"/>
  <c r="H25" i="25"/>
  <c r="L35" i="52"/>
  <c r="L25" i="1"/>
  <c r="L35" i="59"/>
  <c r="L25" i="4"/>
  <c r="L35" i="60"/>
  <c r="L25" i="48"/>
  <c r="I25" i="25"/>
  <c r="D26" i="1"/>
  <c r="D26" i="4"/>
  <c r="C26" i="25"/>
  <c r="E26" i="1"/>
  <c r="E26" i="4"/>
  <c r="D26" i="25"/>
  <c r="F26" i="1"/>
  <c r="F26" i="4"/>
  <c r="F26" i="48"/>
  <c r="E26" i="25"/>
  <c r="G26" i="1"/>
  <c r="G26" i="48"/>
  <c r="F26" i="25"/>
  <c r="H26" i="48"/>
  <c r="G26" i="25"/>
  <c r="J26" i="1"/>
  <c r="J26" i="4"/>
  <c r="J26" i="48"/>
  <c r="H26" i="25"/>
  <c r="L26" i="1"/>
  <c r="L26" i="4"/>
  <c r="L26" i="48"/>
  <c r="I26" i="25"/>
  <c r="C10" i="65"/>
  <c r="C11" i="65"/>
  <c r="C12" i="65"/>
  <c r="C13" i="65"/>
  <c r="C14" i="65"/>
  <c r="C15" i="65"/>
  <c r="C16" i="65"/>
  <c r="C17" i="65"/>
  <c r="C18" i="65"/>
  <c r="C19" i="65"/>
  <c r="C20" i="65"/>
  <c r="C21" i="65"/>
  <c r="C22" i="65"/>
  <c r="C23" i="65"/>
  <c r="C24" i="65"/>
  <c r="C25" i="65"/>
  <c r="C35" i="65"/>
  <c r="D10" i="65"/>
  <c r="D11" i="65"/>
  <c r="D12" i="65"/>
  <c r="D13" i="65"/>
  <c r="D14" i="65"/>
  <c r="D15" i="65"/>
  <c r="D16" i="65"/>
  <c r="D17" i="65"/>
  <c r="D18" i="65"/>
  <c r="D19" i="65"/>
  <c r="D20" i="65"/>
  <c r="D21" i="65"/>
  <c r="D22" i="65"/>
  <c r="D23" i="65"/>
  <c r="D24" i="65"/>
  <c r="D25" i="65"/>
  <c r="D35" i="65"/>
  <c r="E10" i="65"/>
  <c r="E11" i="65"/>
  <c r="E12" i="65"/>
  <c r="E13" i="65"/>
  <c r="E14" i="65"/>
  <c r="E15" i="65"/>
  <c r="E16" i="65"/>
  <c r="E17" i="65"/>
  <c r="E18" i="65"/>
  <c r="E19" i="65"/>
  <c r="E20" i="65"/>
  <c r="E21" i="65"/>
  <c r="E22" i="65"/>
  <c r="E23" i="65"/>
  <c r="E24" i="65"/>
  <c r="E25" i="65"/>
  <c r="E35" i="65"/>
  <c r="F10" i="65"/>
  <c r="F11" i="65"/>
  <c r="F12" i="65"/>
  <c r="F13" i="65"/>
  <c r="F14" i="65"/>
  <c r="F15" i="65"/>
  <c r="F16" i="65"/>
  <c r="F17" i="65"/>
  <c r="F18" i="65"/>
  <c r="F19" i="65"/>
  <c r="F20" i="65"/>
  <c r="F21" i="65"/>
  <c r="F22" i="65"/>
  <c r="F23" i="65"/>
  <c r="F24" i="65"/>
  <c r="F25" i="65"/>
  <c r="F35" i="65"/>
  <c r="G10" i="65"/>
  <c r="G11" i="65"/>
  <c r="G12" i="65"/>
  <c r="G13" i="65"/>
  <c r="G14" i="65"/>
  <c r="G15" i="65"/>
  <c r="G16" i="65"/>
  <c r="G17" i="65"/>
  <c r="G18" i="65"/>
  <c r="G19" i="65"/>
  <c r="G20" i="65"/>
  <c r="G21" i="65"/>
  <c r="G22" i="65"/>
  <c r="G23" i="65"/>
  <c r="G24" i="65"/>
  <c r="G25" i="65"/>
  <c r="G35" i="65"/>
  <c r="H10" i="65"/>
  <c r="H11" i="65"/>
  <c r="H12" i="65"/>
  <c r="H13" i="65"/>
  <c r="H14" i="65"/>
  <c r="H15" i="65"/>
  <c r="H16" i="65"/>
  <c r="H17" i="65"/>
  <c r="H18" i="65"/>
  <c r="H19" i="65"/>
  <c r="H20" i="65"/>
  <c r="H21" i="65"/>
  <c r="H22" i="65"/>
  <c r="H23" i="65"/>
  <c r="H24" i="65"/>
  <c r="H25" i="65"/>
  <c r="H35" i="65"/>
  <c r="I10" i="65"/>
  <c r="I11" i="65"/>
  <c r="I12" i="65"/>
  <c r="I13" i="65"/>
  <c r="I14" i="65"/>
  <c r="I15" i="65"/>
  <c r="I16" i="65"/>
  <c r="I17" i="65"/>
  <c r="I18" i="65"/>
  <c r="I19" i="65"/>
  <c r="I20" i="65"/>
  <c r="I21" i="65"/>
  <c r="I22" i="65"/>
  <c r="I23" i="65"/>
  <c r="I24" i="65"/>
  <c r="I25" i="65"/>
  <c r="I35" i="65"/>
  <c r="B11" i="65"/>
  <c r="B12" i="65"/>
  <c r="B13" i="65"/>
  <c r="B14" i="65"/>
  <c r="B15" i="65"/>
  <c r="B16" i="65"/>
  <c r="B17" i="65"/>
  <c r="B18" i="65"/>
  <c r="B19" i="65"/>
  <c r="B20" i="65"/>
  <c r="B21" i="65"/>
  <c r="B22" i="65"/>
  <c r="B23" i="65"/>
  <c r="B24" i="65"/>
  <c r="B25" i="65"/>
  <c r="B10" i="65"/>
  <c r="B10" i="25"/>
  <c r="M21" i="76"/>
  <c r="C35" i="76"/>
  <c r="M35" i="76"/>
  <c r="D35" i="76"/>
  <c r="E35" i="76"/>
  <c r="I35" i="76"/>
  <c r="J35" i="76"/>
  <c r="K35" i="76"/>
  <c r="L35" i="76"/>
  <c r="B35" i="76"/>
  <c r="M21" i="75"/>
  <c r="C35" i="75"/>
  <c r="M35" i="75"/>
  <c r="D35" i="75"/>
  <c r="E35" i="75"/>
  <c r="I35" i="75"/>
  <c r="J35" i="75"/>
  <c r="K35" i="75"/>
  <c r="L35" i="75"/>
  <c r="B35" i="75"/>
  <c r="M21" i="42"/>
  <c r="C35" i="42"/>
  <c r="M35" i="42"/>
  <c r="D35" i="42"/>
  <c r="E35" i="42"/>
  <c r="I35" i="42"/>
  <c r="J35" i="42"/>
  <c r="K35" i="42"/>
  <c r="L35" i="42"/>
  <c r="B35" i="42"/>
  <c r="M27" i="17"/>
  <c r="C35" i="17"/>
  <c r="F35" i="17"/>
  <c r="M35" i="17"/>
  <c r="D35" i="17"/>
  <c r="E35" i="17"/>
  <c r="I35" i="17"/>
  <c r="J35" i="17"/>
  <c r="K35" i="17"/>
  <c r="L35" i="17"/>
  <c r="B35" i="17"/>
  <c r="M21" i="34"/>
  <c r="C35" i="34"/>
  <c r="D35" i="34"/>
  <c r="E35" i="34"/>
  <c r="I35" i="34"/>
  <c r="J35" i="34"/>
  <c r="K35" i="34"/>
  <c r="L35" i="34"/>
  <c r="B35" i="34"/>
  <c r="M21" i="35"/>
  <c r="C35" i="35"/>
  <c r="D35" i="35"/>
  <c r="E35" i="35"/>
  <c r="I35" i="35"/>
  <c r="J35" i="35"/>
  <c r="K35" i="35"/>
  <c r="L35" i="35"/>
  <c r="M35" i="35"/>
  <c r="B35" i="35"/>
  <c r="C26" i="4"/>
  <c r="C26" i="1"/>
  <c r="B26" i="25"/>
  <c r="I26" i="4"/>
  <c r="K26" i="4"/>
  <c r="I35" i="59"/>
  <c r="I25" i="4"/>
  <c r="K35" i="59"/>
  <c r="K25" i="4"/>
  <c r="C39" i="59"/>
  <c r="D39" i="59"/>
  <c r="E39" i="59"/>
  <c r="F39" i="59"/>
  <c r="G39" i="59"/>
  <c r="H39" i="59"/>
  <c r="I39" i="59"/>
  <c r="J39" i="59"/>
  <c r="K39" i="59"/>
  <c r="L39" i="59"/>
  <c r="M11" i="59"/>
  <c r="M12" i="59"/>
  <c r="M13" i="59"/>
  <c r="M14" i="59"/>
  <c r="M15" i="59"/>
  <c r="M16" i="59"/>
  <c r="M17" i="59"/>
  <c r="M18" i="59"/>
  <c r="M19" i="59"/>
  <c r="M20" i="59"/>
  <c r="M21" i="59"/>
  <c r="M22" i="59"/>
  <c r="M23" i="59"/>
  <c r="M24" i="59"/>
  <c r="M25" i="59"/>
  <c r="M10" i="59"/>
  <c r="C35" i="59"/>
  <c r="C25" i="4"/>
  <c r="C35" i="52"/>
  <c r="C25" i="1"/>
  <c r="B25" i="25"/>
  <c r="B35" i="59"/>
  <c r="M12" i="4"/>
  <c r="M13" i="4"/>
  <c r="M14" i="4"/>
  <c r="M15" i="4"/>
  <c r="M16" i="4"/>
  <c r="M17" i="4"/>
  <c r="M18" i="4"/>
  <c r="M19" i="4"/>
  <c r="M20" i="4"/>
  <c r="M21" i="4"/>
  <c r="M22" i="4"/>
  <c r="M23" i="4"/>
  <c r="M24" i="4"/>
  <c r="M11" i="4"/>
  <c r="C35" i="85"/>
  <c r="M35" i="85"/>
  <c r="D35" i="85"/>
  <c r="E35" i="85"/>
  <c r="F35" i="85"/>
  <c r="G35" i="85"/>
  <c r="I35" i="85"/>
  <c r="J35" i="85"/>
  <c r="K35" i="85"/>
  <c r="L35" i="85"/>
  <c r="B35" i="85"/>
  <c r="C35" i="57"/>
  <c r="D35" i="57"/>
  <c r="E35" i="57"/>
  <c r="F35" i="57"/>
  <c r="G35" i="57"/>
  <c r="I35" i="57"/>
  <c r="J35" i="57"/>
  <c r="K35" i="57"/>
  <c r="L35" i="57"/>
  <c r="B35" i="57"/>
  <c r="B49" i="85"/>
  <c r="B48" i="85"/>
  <c r="B47" i="85"/>
  <c r="B46" i="85"/>
  <c r="B45" i="85"/>
  <c r="B44" i="85"/>
  <c r="B39" i="65"/>
  <c r="B35" i="65"/>
  <c r="J35" i="65"/>
  <c r="D46" i="93"/>
  <c r="C46" i="93"/>
  <c r="B46" i="93"/>
  <c r="B49" i="93"/>
  <c r="M35" i="34"/>
  <c r="M39" i="59"/>
  <c r="M35" i="59"/>
  <c r="M11" i="85"/>
  <c r="M12" i="85"/>
  <c r="M13" i="85"/>
  <c r="M14" i="85"/>
  <c r="M15" i="85"/>
  <c r="M16" i="85"/>
  <c r="M17" i="85"/>
  <c r="M18" i="85"/>
  <c r="M19" i="85"/>
  <c r="M20" i="85"/>
  <c r="M10" i="85"/>
  <c r="J17" i="25"/>
  <c r="J19" i="25"/>
  <c r="J14" i="25"/>
  <c r="C10" i="25"/>
  <c r="D10" i="25"/>
  <c r="D28" i="25"/>
  <c r="D30" i="25"/>
  <c r="D36" i="25"/>
  <c r="D37" i="25"/>
  <c r="D38" i="25"/>
  <c r="D39" i="25"/>
  <c r="D40" i="25"/>
  <c r="D41" i="25"/>
  <c r="D42" i="25"/>
  <c r="D43" i="25"/>
  <c r="D44" i="25"/>
  <c r="D45" i="25"/>
  <c r="D49" i="25"/>
  <c r="E10" i="25"/>
  <c r="F10" i="25"/>
  <c r="G10" i="25"/>
  <c r="B58" i="8"/>
  <c r="B54" i="8"/>
  <c r="B53" i="8"/>
  <c r="B52" i="8"/>
  <c r="B51" i="8"/>
  <c r="B50" i="8"/>
  <c r="B22" i="8"/>
  <c r="B36" i="8"/>
  <c r="B38" i="8"/>
  <c r="M26" i="8"/>
  <c r="M27" i="8"/>
  <c r="M28" i="8"/>
  <c r="M29" i="8"/>
  <c r="M30" i="8"/>
  <c r="M31" i="8"/>
  <c r="M32" i="8"/>
  <c r="M33" i="8"/>
  <c r="M34" i="8"/>
  <c r="M25" i="8"/>
  <c r="C36" i="8"/>
  <c r="D36" i="8"/>
  <c r="E36" i="8"/>
  <c r="F36" i="8"/>
  <c r="G36" i="8"/>
  <c r="J36" i="8"/>
  <c r="L36" i="8"/>
  <c r="M36" i="8"/>
  <c r="I36" i="8"/>
  <c r="K36" i="8"/>
  <c r="M22" i="8"/>
  <c r="M12" i="8"/>
  <c r="M13" i="8"/>
  <c r="M14" i="8"/>
  <c r="M15" i="8"/>
  <c r="M16" i="8"/>
  <c r="M17" i="8"/>
  <c r="M18" i="8"/>
  <c r="M19" i="8"/>
  <c r="M20" i="8"/>
  <c r="M11" i="8"/>
  <c r="I22" i="8"/>
  <c r="K22" i="8"/>
  <c r="M8" i="81"/>
  <c r="L8" i="81"/>
  <c r="C8" i="81"/>
  <c r="M11" i="80"/>
  <c r="L11" i="80"/>
  <c r="C11" i="80"/>
  <c r="C35" i="9"/>
  <c r="D35" i="9"/>
  <c r="E35" i="9"/>
  <c r="F35" i="9"/>
  <c r="G35" i="9"/>
  <c r="J35" i="9"/>
  <c r="L35" i="9"/>
  <c r="M35" i="9"/>
  <c r="M26" i="9"/>
  <c r="B35" i="9"/>
  <c r="I35" i="9"/>
  <c r="K35" i="9"/>
  <c r="M17" i="58"/>
  <c r="M14" i="58"/>
  <c r="C35" i="58"/>
  <c r="M35" i="58"/>
  <c r="D35" i="58"/>
  <c r="E35" i="58"/>
  <c r="F35" i="58"/>
  <c r="G35" i="58"/>
  <c r="H35" i="58"/>
  <c r="I35" i="58"/>
  <c r="J35" i="58"/>
  <c r="K35" i="58"/>
  <c r="L35" i="58"/>
  <c r="B35" i="58"/>
  <c r="G32" i="69"/>
  <c r="M17" i="14"/>
  <c r="M14" i="14"/>
  <c r="C35" i="14"/>
  <c r="D35" i="14"/>
  <c r="E35" i="14"/>
  <c r="F35" i="14"/>
  <c r="G35" i="14"/>
  <c r="H35" i="14"/>
  <c r="I35" i="14"/>
  <c r="J35" i="14"/>
  <c r="K35" i="14"/>
  <c r="L35" i="14"/>
  <c r="B35" i="14"/>
  <c r="C35" i="1"/>
  <c r="D35" i="1"/>
  <c r="E35" i="1"/>
  <c r="F35" i="1"/>
  <c r="G35" i="1"/>
  <c r="J35" i="1"/>
  <c r="L35" i="1"/>
  <c r="M35" i="1"/>
  <c r="C39" i="52"/>
  <c r="D39" i="52"/>
  <c r="E39" i="52"/>
  <c r="F39" i="52"/>
  <c r="G39" i="52"/>
  <c r="H39" i="52"/>
  <c r="J39" i="52"/>
  <c r="L39" i="52"/>
  <c r="M39" i="52"/>
  <c r="M35" i="52"/>
  <c r="C35" i="7"/>
  <c r="D35" i="7"/>
  <c r="E35" i="7"/>
  <c r="F35" i="7"/>
  <c r="G35" i="7"/>
  <c r="I35" i="7"/>
  <c r="J35" i="7"/>
  <c r="K35" i="7"/>
  <c r="L35" i="7"/>
  <c r="B35" i="7"/>
  <c r="M11" i="52"/>
  <c r="M12" i="52"/>
  <c r="M13" i="52"/>
  <c r="M14" i="52"/>
  <c r="M15" i="52"/>
  <c r="M16" i="52"/>
  <c r="M17" i="52"/>
  <c r="M18" i="52"/>
  <c r="M19" i="52"/>
  <c r="M20" i="52"/>
  <c r="M21" i="52"/>
  <c r="M22" i="52"/>
  <c r="M23" i="52"/>
  <c r="M24" i="52"/>
  <c r="M25" i="52"/>
  <c r="M10" i="52"/>
  <c r="M26" i="1"/>
  <c r="M24" i="1"/>
  <c r="M23" i="1"/>
  <c r="M22" i="1"/>
  <c r="M21" i="1"/>
  <c r="M20" i="1"/>
  <c r="M19" i="1"/>
  <c r="M18" i="1"/>
  <c r="M16" i="1"/>
  <c r="M15" i="1"/>
  <c r="M11" i="1"/>
  <c r="M12" i="1"/>
  <c r="M13" i="1"/>
  <c r="M10" i="1"/>
  <c r="K35" i="52"/>
  <c r="K25" i="1"/>
  <c r="K26" i="1"/>
  <c r="K35" i="1"/>
  <c r="I30" i="25"/>
  <c r="H30" i="25"/>
  <c r="C30" i="25"/>
  <c r="E30" i="25"/>
  <c r="F30" i="25"/>
  <c r="G30" i="25"/>
  <c r="H32" i="68"/>
  <c r="H32" i="69"/>
  <c r="M35" i="14"/>
  <c r="H32" i="12"/>
  <c r="G35" i="16"/>
  <c r="H5" i="79"/>
  <c r="H20" i="79"/>
  <c r="H46" i="79"/>
  <c r="H49" i="79"/>
  <c r="B21" i="90"/>
  <c r="B27" i="87"/>
  <c r="D20" i="79"/>
  <c r="D5" i="79"/>
  <c r="C5" i="79"/>
  <c r="D11" i="80"/>
  <c r="D12" i="80"/>
  <c r="D16" i="80"/>
  <c r="D45" i="80"/>
  <c r="C20" i="79"/>
  <c r="E20" i="79"/>
  <c r="G94" i="10"/>
  <c r="F94" i="10"/>
  <c r="E94" i="10"/>
  <c r="H94" i="10"/>
  <c r="H50" i="69"/>
  <c r="J50" i="69"/>
  <c r="G50" i="69"/>
  <c r="D30" i="87"/>
  <c r="E30" i="87"/>
  <c r="F30" i="87"/>
  <c r="G30" i="87"/>
  <c r="H30" i="87"/>
  <c r="C18" i="88"/>
  <c r="D18" i="88"/>
  <c r="B18" i="88"/>
  <c r="D18" i="89"/>
  <c r="C18" i="89"/>
  <c r="B18" i="89"/>
  <c r="B45" i="83"/>
  <c r="I16" i="81"/>
  <c r="I12" i="81"/>
  <c r="H16" i="81"/>
  <c r="G16" i="81"/>
  <c r="F16" i="81"/>
  <c r="E16" i="81"/>
  <c r="D16" i="81"/>
  <c r="B16" i="81"/>
  <c r="J16" i="81"/>
  <c r="E12" i="81"/>
  <c r="F12" i="81"/>
  <c r="G12" i="81"/>
  <c r="H12" i="81"/>
  <c r="B12" i="81"/>
  <c r="D12" i="81"/>
  <c r="J12" i="81"/>
  <c r="E8" i="81"/>
  <c r="F8" i="81"/>
  <c r="F45" i="81"/>
  <c r="D8" i="81"/>
  <c r="B8" i="81"/>
  <c r="J5" i="81"/>
  <c r="J6" i="81"/>
  <c r="J7" i="81"/>
  <c r="J9" i="81"/>
  <c r="J10" i="81"/>
  <c r="J11" i="81"/>
  <c r="J13" i="81"/>
  <c r="J14" i="81"/>
  <c r="J15" i="81"/>
  <c r="J17" i="81"/>
  <c r="J20" i="81"/>
  <c r="J36" i="81"/>
  <c r="J37" i="81"/>
  <c r="J38" i="81"/>
  <c r="J39" i="81"/>
  <c r="J40" i="81"/>
  <c r="J41" i="81"/>
  <c r="J42" i="81"/>
  <c r="J43" i="81"/>
  <c r="J44" i="81"/>
  <c r="I16" i="80"/>
  <c r="I12" i="80"/>
  <c r="E16" i="80"/>
  <c r="F16" i="80"/>
  <c r="G16" i="80"/>
  <c r="H16" i="80"/>
  <c r="E12" i="80"/>
  <c r="F12" i="80"/>
  <c r="H12" i="80"/>
  <c r="E11" i="80"/>
  <c r="E45" i="80"/>
  <c r="F11" i="80"/>
  <c r="F45" i="80"/>
  <c r="C45" i="80"/>
  <c r="B16" i="80"/>
  <c r="B12" i="80"/>
  <c r="B11" i="80"/>
  <c r="B20" i="79"/>
  <c r="B5" i="79"/>
  <c r="L35" i="16"/>
  <c r="J31" i="61"/>
  <c r="L37" i="76"/>
  <c r="L38" i="8"/>
  <c r="G31" i="61"/>
  <c r="F31" i="61"/>
  <c r="E31" i="61"/>
  <c r="K35" i="16"/>
  <c r="J30" i="61"/>
  <c r="K37" i="76"/>
  <c r="K38" i="8"/>
  <c r="G30" i="61"/>
  <c r="F30" i="61"/>
  <c r="E30" i="61"/>
  <c r="J35" i="16"/>
  <c r="J29" i="61"/>
  <c r="I29" i="61"/>
  <c r="J38" i="8"/>
  <c r="G29" i="61"/>
  <c r="F29" i="61"/>
  <c r="E29" i="61"/>
  <c r="I35" i="16"/>
  <c r="J28" i="61"/>
  <c r="I37" i="76"/>
  <c r="I38" i="8"/>
  <c r="G28" i="61"/>
  <c r="F28" i="61"/>
  <c r="E28" i="61"/>
  <c r="H35" i="16"/>
  <c r="J21" i="61"/>
  <c r="F35" i="16"/>
  <c r="J25" i="61"/>
  <c r="G38" i="8"/>
  <c r="F26" i="61"/>
  <c r="E26" i="61"/>
  <c r="F38" i="8"/>
  <c r="G25" i="61"/>
  <c r="F25" i="61"/>
  <c r="E25" i="61"/>
  <c r="E38" i="8"/>
  <c r="G23" i="61"/>
  <c r="F23" i="61"/>
  <c r="E23" i="61"/>
  <c r="F22" i="61"/>
  <c r="E22" i="61"/>
  <c r="F21" i="61"/>
  <c r="E21" i="61"/>
  <c r="E24" i="61"/>
  <c r="H53" i="69"/>
  <c r="G53" i="69"/>
  <c r="D53" i="69"/>
  <c r="K52" i="69"/>
  <c r="L52" i="69"/>
  <c r="H52" i="69"/>
  <c r="G52" i="69"/>
  <c r="D52" i="69"/>
  <c r="H51" i="69"/>
  <c r="G51" i="69"/>
  <c r="D51" i="69"/>
  <c r="D50" i="69"/>
  <c r="F35" i="41"/>
  <c r="H49" i="69"/>
  <c r="J49" i="69"/>
  <c r="B35" i="41"/>
  <c r="G49" i="69"/>
  <c r="D49" i="69"/>
  <c r="F35" i="22"/>
  <c r="H48" i="69"/>
  <c r="J48" i="69"/>
  <c r="B35" i="22"/>
  <c r="G48" i="69"/>
  <c r="D48" i="69"/>
  <c r="H47" i="68"/>
  <c r="J47" i="68"/>
  <c r="G47" i="69"/>
  <c r="D47" i="69"/>
  <c r="G35" i="74"/>
  <c r="H46" i="69"/>
  <c r="G35" i="43"/>
  <c r="H44" i="69"/>
  <c r="G35" i="44"/>
  <c r="H45" i="69"/>
  <c r="J46" i="69"/>
  <c r="B35" i="74"/>
  <c r="G46" i="69"/>
  <c r="D46" i="69"/>
  <c r="B35" i="44"/>
  <c r="G45" i="69"/>
  <c r="D45" i="69"/>
  <c r="B35" i="43"/>
  <c r="G44" i="69"/>
  <c r="D44" i="69"/>
  <c r="H43" i="12"/>
  <c r="H43" i="69"/>
  <c r="H41" i="69"/>
  <c r="H42" i="69"/>
  <c r="J41" i="69"/>
  <c r="G43" i="69"/>
  <c r="D43" i="69"/>
  <c r="G42" i="69"/>
  <c r="D42" i="69"/>
  <c r="G41" i="69"/>
  <c r="D41" i="69"/>
  <c r="H39" i="69"/>
  <c r="H38" i="69"/>
  <c r="G39" i="69"/>
  <c r="D39" i="69"/>
  <c r="K38" i="69"/>
  <c r="L38" i="69"/>
  <c r="G38" i="69"/>
  <c r="D38" i="69"/>
  <c r="B25" i="4"/>
  <c r="B26" i="4"/>
  <c r="B35" i="4"/>
  <c r="G37" i="12"/>
  <c r="D37" i="69"/>
  <c r="B35" i="16"/>
  <c r="D36" i="69"/>
  <c r="D35" i="69"/>
  <c r="H34" i="69"/>
  <c r="J34" i="69"/>
  <c r="G34" i="69"/>
  <c r="D34" i="69"/>
  <c r="H33" i="69"/>
  <c r="J33" i="69"/>
  <c r="G33" i="69"/>
  <c r="D33" i="69"/>
  <c r="D32" i="69"/>
  <c r="H31" i="69"/>
  <c r="J31" i="69"/>
  <c r="D31" i="69"/>
  <c r="G30" i="69"/>
  <c r="D30" i="69"/>
  <c r="B35" i="52"/>
  <c r="B25" i="1"/>
  <c r="B26" i="1"/>
  <c r="D29" i="69"/>
  <c r="L53" i="68"/>
  <c r="L52" i="68"/>
  <c r="L51" i="68"/>
  <c r="L50" i="68"/>
  <c r="L49" i="68"/>
  <c r="L48" i="68"/>
  <c r="G47" i="68"/>
  <c r="D47" i="68"/>
  <c r="D41" i="68"/>
  <c r="D39" i="68"/>
  <c r="L38" i="68"/>
  <c r="D37" i="68"/>
  <c r="D36" i="68"/>
  <c r="H34" i="68"/>
  <c r="J34" i="68"/>
  <c r="D34" i="68"/>
  <c r="H33" i="68"/>
  <c r="J33" i="68"/>
  <c r="G33" i="68"/>
  <c r="D33" i="68"/>
  <c r="D32" i="68"/>
  <c r="H31" i="68"/>
  <c r="J31" i="68"/>
  <c r="D31" i="68"/>
  <c r="G30" i="68"/>
  <c r="D30" i="68"/>
  <c r="D29" i="68"/>
  <c r="K52" i="72"/>
  <c r="L52" i="72"/>
  <c r="D41" i="72"/>
  <c r="D39" i="72"/>
  <c r="D29" i="72"/>
  <c r="D50" i="12"/>
  <c r="H45" i="83"/>
  <c r="G45" i="83"/>
  <c r="F45" i="83"/>
  <c r="E45" i="83"/>
  <c r="D45" i="83"/>
  <c r="C45" i="83"/>
  <c r="I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6" i="83"/>
  <c r="I5" i="83"/>
  <c r="H45" i="84"/>
  <c r="G45" i="84"/>
  <c r="F45" i="84"/>
  <c r="E45" i="84"/>
  <c r="D45" i="84"/>
  <c r="C45" i="84"/>
  <c r="B45" i="84"/>
  <c r="I34" i="84"/>
  <c r="I33" i="84"/>
  <c r="I32" i="84"/>
  <c r="I31" i="84"/>
  <c r="I30" i="84"/>
  <c r="I29" i="84"/>
  <c r="I28" i="84"/>
  <c r="I27" i="84"/>
  <c r="I26" i="84"/>
  <c r="I25" i="84"/>
  <c r="I24" i="84"/>
  <c r="I23" i="84"/>
  <c r="I22" i="84"/>
  <c r="I21" i="84"/>
  <c r="I20" i="84"/>
  <c r="I19" i="84"/>
  <c r="I18" i="84"/>
  <c r="I17" i="84"/>
  <c r="I16" i="84"/>
  <c r="I15" i="84"/>
  <c r="I14" i="84"/>
  <c r="I13" i="84"/>
  <c r="I12" i="84"/>
  <c r="I11" i="84"/>
  <c r="I10" i="84"/>
  <c r="I9" i="84"/>
  <c r="I8" i="84"/>
  <c r="I5" i="84"/>
  <c r="I6" i="84"/>
  <c r="I7" i="84"/>
  <c r="I45" i="84"/>
  <c r="H45" i="82"/>
  <c r="G45" i="82"/>
  <c r="F45" i="82"/>
  <c r="E45" i="82"/>
  <c r="D45" i="82"/>
  <c r="C45" i="82"/>
  <c r="B45" i="82"/>
  <c r="I44" i="82"/>
  <c r="I43" i="82"/>
  <c r="I42" i="82"/>
  <c r="I41" i="82"/>
  <c r="I40" i="82"/>
  <c r="I39" i="82"/>
  <c r="I38" i="82"/>
  <c r="I37" i="82"/>
  <c r="I36" i="82"/>
  <c r="I20" i="82"/>
  <c r="I17" i="82"/>
  <c r="I16" i="82"/>
  <c r="I15" i="82"/>
  <c r="I14" i="82"/>
  <c r="I13" i="82"/>
  <c r="I12" i="82"/>
  <c r="I11" i="82"/>
  <c r="I10" i="82"/>
  <c r="I9" i="82"/>
  <c r="I8" i="82"/>
  <c r="I7" i="82"/>
  <c r="I5" i="82"/>
  <c r="I6" i="82"/>
  <c r="I45" i="82"/>
  <c r="E45" i="81"/>
  <c r="D45" i="81"/>
  <c r="C45" i="81"/>
  <c r="B45" i="81"/>
  <c r="B45" i="80"/>
  <c r="J44" i="80"/>
  <c r="J43" i="80"/>
  <c r="J42" i="80"/>
  <c r="J41" i="80"/>
  <c r="J40" i="80"/>
  <c r="J39" i="80"/>
  <c r="J38" i="80"/>
  <c r="J37" i="80"/>
  <c r="J36" i="80"/>
  <c r="J20" i="80"/>
  <c r="J17" i="80"/>
  <c r="J16" i="80"/>
  <c r="J15" i="80"/>
  <c r="J14" i="80"/>
  <c r="J13" i="80"/>
  <c r="J12" i="80"/>
  <c r="J10" i="80"/>
  <c r="J9" i="80"/>
  <c r="J8" i="80"/>
  <c r="J7" i="80"/>
  <c r="J6" i="80"/>
  <c r="J5" i="80"/>
  <c r="F24" i="61"/>
  <c r="B24" i="61"/>
  <c r="B32" i="61"/>
  <c r="I45" i="83"/>
  <c r="H49" i="12"/>
  <c r="H48" i="12"/>
  <c r="H46" i="12"/>
  <c r="H45" i="12"/>
  <c r="H44" i="12"/>
  <c r="H40" i="12"/>
  <c r="J40" i="12"/>
  <c r="H34" i="12"/>
  <c r="H33" i="12"/>
  <c r="J33" i="12"/>
  <c r="H31" i="12"/>
  <c r="G49" i="12"/>
  <c r="G48" i="12"/>
  <c r="G45" i="12"/>
  <c r="G44" i="12"/>
  <c r="G43" i="12"/>
  <c r="G40" i="12"/>
  <c r="G33" i="12"/>
  <c r="G30" i="12"/>
  <c r="T94" i="10"/>
  <c r="M52" i="86"/>
  <c r="M50" i="86"/>
  <c r="M49" i="86"/>
  <c r="M48" i="86"/>
  <c r="M47" i="86"/>
  <c r="M46" i="86"/>
  <c r="M45" i="86"/>
  <c r="M44" i="86"/>
  <c r="I26" i="1"/>
  <c r="I35" i="52"/>
  <c r="I25" i="1"/>
  <c r="I35" i="1"/>
  <c r="C52" i="85"/>
  <c r="M52" i="85"/>
  <c r="C46" i="85"/>
  <c r="M46" i="85"/>
  <c r="C44" i="85"/>
  <c r="M44" i="85"/>
  <c r="B50" i="85"/>
  <c r="A50" i="85"/>
  <c r="K30" i="61"/>
  <c r="K31" i="61"/>
  <c r="M56" i="85"/>
  <c r="M55" i="85"/>
  <c r="M54" i="85"/>
  <c r="M53" i="85"/>
  <c r="M51" i="85"/>
  <c r="M50" i="85"/>
  <c r="K29" i="61"/>
  <c r="K28" i="61"/>
  <c r="E28" i="25"/>
  <c r="C28" i="25"/>
  <c r="G36" i="68"/>
  <c r="C35" i="16"/>
  <c r="A100" i="54"/>
  <c r="E5" i="67"/>
  <c r="D35" i="4"/>
  <c r="H22" i="61"/>
  <c r="L35" i="48"/>
  <c r="I26" i="48"/>
  <c r="K26" i="48"/>
  <c r="M26" i="48"/>
  <c r="K52" i="12"/>
  <c r="L52" i="12"/>
  <c r="H51" i="12"/>
  <c r="G51" i="12"/>
  <c r="C52" i="76"/>
  <c r="B52" i="76"/>
  <c r="M52" i="76"/>
  <c r="A52" i="76"/>
  <c r="M50" i="76"/>
  <c r="A50" i="76"/>
  <c r="L36" i="76"/>
  <c r="K36" i="76"/>
  <c r="J36" i="76"/>
  <c r="I36" i="76"/>
  <c r="H36" i="76"/>
  <c r="F36" i="76"/>
  <c r="E36" i="76"/>
  <c r="D36" i="76"/>
  <c r="J37" i="76"/>
  <c r="H37" i="76"/>
  <c r="H42" i="12"/>
  <c r="F37" i="76"/>
  <c r="E37" i="76"/>
  <c r="D37" i="76"/>
  <c r="C52" i="75"/>
  <c r="B52" i="75"/>
  <c r="M52" i="75"/>
  <c r="M50" i="75"/>
  <c r="M60" i="74"/>
  <c r="M59" i="74"/>
  <c r="M58" i="74"/>
  <c r="M57" i="74"/>
  <c r="M56" i="74"/>
  <c r="M55" i="74"/>
  <c r="M54" i="74"/>
  <c r="M53" i="74"/>
  <c r="M52" i="74"/>
  <c r="M50" i="74"/>
  <c r="M49" i="74"/>
  <c r="M48" i="74"/>
  <c r="M47" i="74"/>
  <c r="M46" i="74"/>
  <c r="M45" i="74"/>
  <c r="M44" i="74"/>
  <c r="L35" i="74"/>
  <c r="K35" i="74"/>
  <c r="J35" i="74"/>
  <c r="I35" i="74"/>
  <c r="H35" i="74"/>
  <c r="F35" i="74"/>
  <c r="E35" i="74"/>
  <c r="D35" i="74"/>
  <c r="C35" i="74"/>
  <c r="M35" i="74"/>
  <c r="M21" i="74"/>
  <c r="M44" i="42"/>
  <c r="M45" i="42"/>
  <c r="M46" i="42"/>
  <c r="M47" i="42"/>
  <c r="M48" i="42"/>
  <c r="M49" i="42"/>
  <c r="M50" i="42"/>
  <c r="M52" i="42"/>
  <c r="M53" i="42"/>
  <c r="M54" i="42"/>
  <c r="M55" i="42"/>
  <c r="M56" i="42"/>
  <c r="M57" i="42"/>
  <c r="M58" i="42"/>
  <c r="M59" i="42"/>
  <c r="M60" i="42"/>
  <c r="M53" i="35"/>
  <c r="M51" i="35"/>
  <c r="M49" i="35"/>
  <c r="M48" i="35"/>
  <c r="C52" i="58"/>
  <c r="M52" i="58"/>
  <c r="M49" i="58"/>
  <c r="M53" i="45"/>
  <c r="M52" i="45"/>
  <c r="M50" i="45"/>
  <c r="M49" i="45"/>
  <c r="M48" i="45"/>
  <c r="M47" i="45"/>
  <c r="M46" i="45"/>
  <c r="M45" i="45"/>
  <c r="M44" i="45"/>
  <c r="M44" i="22"/>
  <c r="M45" i="22"/>
  <c r="M46" i="22"/>
  <c r="M47" i="22"/>
  <c r="M48" i="22"/>
  <c r="M49" i="22"/>
  <c r="M50" i="22"/>
  <c r="M52" i="22"/>
  <c r="M53" i="22"/>
  <c r="M49" i="8"/>
  <c r="A61" i="8"/>
  <c r="M52" i="41"/>
  <c r="M50" i="41"/>
  <c r="M49" i="41"/>
  <c r="M48" i="41"/>
  <c r="M47" i="41"/>
  <c r="M46" i="41"/>
  <c r="M45" i="41"/>
  <c r="M44" i="41"/>
  <c r="B39" i="59"/>
  <c r="M53" i="4"/>
  <c r="M51" i="4"/>
  <c r="M49" i="4"/>
  <c r="M48" i="4"/>
  <c r="M45" i="16"/>
  <c r="M46" i="16"/>
  <c r="M47" i="16"/>
  <c r="M48" i="16"/>
  <c r="M49" i="16"/>
  <c r="M50" i="16"/>
  <c r="M52" i="16"/>
  <c r="M53" i="16"/>
  <c r="M54" i="16"/>
  <c r="M55" i="16"/>
  <c r="M56" i="16"/>
  <c r="M49" i="9"/>
  <c r="M48" i="9"/>
  <c r="M51" i="7"/>
  <c r="C52" i="14"/>
  <c r="M52" i="14"/>
  <c r="M49" i="14"/>
  <c r="M49" i="57"/>
  <c r="M48" i="57"/>
  <c r="M49" i="7"/>
  <c r="M48" i="7"/>
  <c r="M48" i="1"/>
  <c r="M49" i="1"/>
  <c r="M53" i="1"/>
  <c r="O10" i="1"/>
  <c r="I94" i="10"/>
  <c r="J94" i="10"/>
  <c r="K94" i="10"/>
  <c r="L94" i="10"/>
  <c r="M94" i="10"/>
  <c r="N94" i="10"/>
  <c r="O94" i="10"/>
  <c r="P94" i="10"/>
  <c r="Q94" i="10"/>
  <c r="R94" i="10"/>
  <c r="S94" i="10"/>
  <c r="A99" i="54"/>
  <c r="E3" i="2" s="1"/>
  <c r="G3" i="2" s="1"/>
  <c r="B53" i="34"/>
  <c r="C53" i="34"/>
  <c r="M53" i="34"/>
  <c r="D29" i="61"/>
  <c r="D28" i="61"/>
  <c r="D56" i="67"/>
  <c r="D55" i="67"/>
  <c r="C36" i="67"/>
  <c r="E56" i="25"/>
  <c r="E57" i="25"/>
  <c r="E58" i="25"/>
  <c r="E60" i="25"/>
  <c r="E61" i="25"/>
  <c r="E62" i="25"/>
  <c r="E63" i="25"/>
  <c r="E64" i="25"/>
  <c r="E65" i="25"/>
  <c r="E66" i="25"/>
  <c r="E67" i="25"/>
  <c r="E68" i="25"/>
  <c r="E69" i="25"/>
  <c r="E70" i="25"/>
  <c r="E72" i="25"/>
  <c r="E73" i="25"/>
  <c r="E74" i="25"/>
  <c r="E75" i="25"/>
  <c r="E76" i="25"/>
  <c r="D74" i="25"/>
  <c r="D75" i="25"/>
  <c r="D76" i="25"/>
  <c r="G52" i="12"/>
  <c r="C55" i="25"/>
  <c r="H37" i="25"/>
  <c r="I37" i="25"/>
  <c r="H38" i="25"/>
  <c r="I38" i="25"/>
  <c r="H39" i="25"/>
  <c r="I39" i="25"/>
  <c r="H40" i="25"/>
  <c r="I40" i="25"/>
  <c r="H41" i="25"/>
  <c r="I41" i="25"/>
  <c r="H42" i="25"/>
  <c r="I42" i="25"/>
  <c r="H43" i="25"/>
  <c r="I43" i="25"/>
  <c r="H44" i="25"/>
  <c r="I44" i="25"/>
  <c r="H45" i="25"/>
  <c r="I45" i="25"/>
  <c r="I36" i="25"/>
  <c r="H36" i="25"/>
  <c r="C36" i="25"/>
  <c r="E36" i="25"/>
  <c r="F36" i="25"/>
  <c r="G36" i="25"/>
  <c r="C37" i="25"/>
  <c r="E37" i="25"/>
  <c r="F37" i="25"/>
  <c r="B37" i="25"/>
  <c r="G37" i="25"/>
  <c r="J37" i="25"/>
  <c r="C38" i="25"/>
  <c r="E38" i="25"/>
  <c r="F38" i="25"/>
  <c r="G38" i="25"/>
  <c r="C39" i="25"/>
  <c r="E39" i="25"/>
  <c r="F39" i="25"/>
  <c r="G39" i="25"/>
  <c r="C40" i="25"/>
  <c r="E40" i="25"/>
  <c r="F40" i="25"/>
  <c r="G40" i="25"/>
  <c r="C41" i="25"/>
  <c r="E41" i="25"/>
  <c r="F41" i="25"/>
  <c r="B41" i="25"/>
  <c r="G41" i="25"/>
  <c r="J41" i="25"/>
  <c r="C42" i="25"/>
  <c r="E42" i="25"/>
  <c r="B42" i="25"/>
  <c r="F42" i="25"/>
  <c r="G42" i="25"/>
  <c r="J42" i="25"/>
  <c r="C43" i="25"/>
  <c r="E43" i="25"/>
  <c r="F43" i="25"/>
  <c r="G43" i="25"/>
  <c r="C44" i="25"/>
  <c r="E44" i="25"/>
  <c r="F44" i="25"/>
  <c r="G44" i="25"/>
  <c r="C45" i="25"/>
  <c r="E45" i="25"/>
  <c r="F45" i="25"/>
  <c r="G45" i="25"/>
  <c r="B38" i="25"/>
  <c r="B39" i="25"/>
  <c r="B40" i="25"/>
  <c r="B43" i="25"/>
  <c r="J43" i="25"/>
  <c r="B44" i="25"/>
  <c r="B45" i="25"/>
  <c r="B36" i="25"/>
  <c r="L37" i="65"/>
  <c r="K37" i="65"/>
  <c r="N36" i="65"/>
  <c r="L36" i="65"/>
  <c r="K36" i="65"/>
  <c r="J36" i="65"/>
  <c r="I36" i="65"/>
  <c r="H36" i="65"/>
  <c r="G36" i="65"/>
  <c r="F36" i="65"/>
  <c r="E36" i="65"/>
  <c r="D36" i="65"/>
  <c r="C36" i="65"/>
  <c r="B36" i="65"/>
  <c r="M36" i="65"/>
  <c r="A36" i="65"/>
  <c r="C35" i="22"/>
  <c r="D35" i="22"/>
  <c r="E35" i="22"/>
  <c r="G35" i="22"/>
  <c r="H35" i="22"/>
  <c r="I35" i="22"/>
  <c r="J35" i="22"/>
  <c r="K35" i="22"/>
  <c r="L35" i="22"/>
  <c r="M21" i="22"/>
  <c r="B37" i="44"/>
  <c r="C35" i="44"/>
  <c r="C37" i="44"/>
  <c r="D35" i="44"/>
  <c r="D37" i="44"/>
  <c r="E35" i="44"/>
  <c r="E37" i="44"/>
  <c r="F35" i="44"/>
  <c r="F37" i="44"/>
  <c r="G37" i="44"/>
  <c r="H35" i="44"/>
  <c r="H37" i="44"/>
  <c r="I35" i="44"/>
  <c r="I37" i="44"/>
  <c r="J35" i="44"/>
  <c r="J37" i="44"/>
  <c r="K35" i="44"/>
  <c r="K37" i="44"/>
  <c r="L35" i="44"/>
  <c r="L37" i="44"/>
  <c r="M21" i="44"/>
  <c r="M50" i="44"/>
  <c r="A50" i="44"/>
  <c r="C35" i="43"/>
  <c r="D35" i="43"/>
  <c r="E35" i="43"/>
  <c r="F35" i="43"/>
  <c r="H35" i="43"/>
  <c r="I35" i="43"/>
  <c r="J35" i="43"/>
  <c r="K35" i="43"/>
  <c r="L35" i="43"/>
  <c r="M21" i="43"/>
  <c r="C52" i="43"/>
  <c r="M50" i="43"/>
  <c r="C52" i="34"/>
  <c r="B52" i="34"/>
  <c r="M52" i="34"/>
  <c r="A52" i="34"/>
  <c r="N37" i="52"/>
  <c r="N36" i="52"/>
  <c r="B52" i="52"/>
  <c r="C39" i="60"/>
  <c r="D39" i="60"/>
  <c r="E39" i="60"/>
  <c r="F39" i="60"/>
  <c r="G39" i="60"/>
  <c r="H39" i="60"/>
  <c r="I39" i="60"/>
  <c r="J39" i="60"/>
  <c r="K39" i="60"/>
  <c r="L39" i="60"/>
  <c r="I39" i="52"/>
  <c r="K39" i="52"/>
  <c r="B39" i="52"/>
  <c r="C35" i="60"/>
  <c r="D35" i="60"/>
  <c r="E35" i="60"/>
  <c r="I35" i="60"/>
  <c r="K35" i="60"/>
  <c r="M35" i="60"/>
  <c r="I25" i="48"/>
  <c r="I35" i="48"/>
  <c r="B35" i="60"/>
  <c r="B39" i="60"/>
  <c r="E35" i="48"/>
  <c r="D35" i="48"/>
  <c r="C35" i="48"/>
  <c r="B35" i="48"/>
  <c r="H35" i="48"/>
  <c r="K25" i="48"/>
  <c r="K35" i="48"/>
  <c r="L35" i="41"/>
  <c r="K35" i="41"/>
  <c r="J35" i="41"/>
  <c r="I35" i="41"/>
  <c r="H35" i="41"/>
  <c r="G35" i="41"/>
  <c r="E35" i="41"/>
  <c r="D35" i="41"/>
  <c r="C35" i="41"/>
  <c r="M35" i="41"/>
  <c r="K36" i="44"/>
  <c r="G36" i="44"/>
  <c r="C36" i="44"/>
  <c r="L36" i="44"/>
  <c r="J36" i="44"/>
  <c r="I36" i="44"/>
  <c r="H36" i="44"/>
  <c r="F36" i="44"/>
  <c r="E36" i="44"/>
  <c r="D36" i="44"/>
  <c r="B36" i="44"/>
  <c r="M36" i="44"/>
  <c r="A36" i="44"/>
  <c r="L35" i="2"/>
  <c r="L37" i="2"/>
  <c r="K35" i="2"/>
  <c r="J35" i="2"/>
  <c r="J37" i="2"/>
  <c r="I35" i="2"/>
  <c r="I37" i="2"/>
  <c r="H35" i="2"/>
  <c r="G35" i="2"/>
  <c r="F35" i="2"/>
  <c r="E35" i="2"/>
  <c r="E37" i="2"/>
  <c r="D35" i="2"/>
  <c r="D37" i="2"/>
  <c r="C35" i="2"/>
  <c r="B35" i="2"/>
  <c r="B37" i="2"/>
  <c r="L34" i="2"/>
  <c r="L36" i="2"/>
  <c r="K34" i="2"/>
  <c r="K36" i="2"/>
  <c r="J34" i="2"/>
  <c r="J36" i="2"/>
  <c r="I34" i="2"/>
  <c r="I36" i="2"/>
  <c r="H34" i="2"/>
  <c r="H36" i="2"/>
  <c r="G34" i="2"/>
  <c r="G36" i="2"/>
  <c r="F34" i="2"/>
  <c r="F36" i="2"/>
  <c r="E34" i="2"/>
  <c r="E36" i="2"/>
  <c r="D34" i="2"/>
  <c r="D36" i="2"/>
  <c r="C34" i="2"/>
  <c r="C36" i="2"/>
  <c r="B34" i="2"/>
  <c r="B36" i="2"/>
  <c r="M36" i="2"/>
  <c r="E35" i="16"/>
  <c r="D35" i="16"/>
  <c r="M35" i="16"/>
  <c r="B47" i="57"/>
  <c r="D31" i="61"/>
  <c r="D30" i="61"/>
  <c r="D23" i="61"/>
  <c r="H30" i="68"/>
  <c r="J30" i="68"/>
  <c r="K37" i="2"/>
  <c r="H37" i="2"/>
  <c r="F37" i="2"/>
  <c r="C37" i="2"/>
  <c r="M11" i="60"/>
  <c r="M12" i="60"/>
  <c r="M13" i="60"/>
  <c r="M10" i="60"/>
  <c r="M14" i="60"/>
  <c r="M15" i="60"/>
  <c r="M16" i="60"/>
  <c r="M17" i="60"/>
  <c r="M18" i="60"/>
  <c r="M19" i="60"/>
  <c r="M20" i="60"/>
  <c r="M21" i="60"/>
  <c r="M22" i="60"/>
  <c r="M23" i="60"/>
  <c r="M24" i="60"/>
  <c r="M25" i="60"/>
  <c r="M39" i="60"/>
  <c r="M11" i="48"/>
  <c r="M12" i="48"/>
  <c r="M13" i="48"/>
  <c r="M14" i="48"/>
  <c r="M15" i="48"/>
  <c r="M16" i="48"/>
  <c r="M17" i="48"/>
  <c r="M18" i="48"/>
  <c r="M19" i="48"/>
  <c r="M20" i="48"/>
  <c r="M21" i="48"/>
  <c r="M22" i="48"/>
  <c r="M23" i="48"/>
  <c r="M24" i="48"/>
  <c r="M21" i="41"/>
  <c r="M21" i="2"/>
  <c r="M34" i="2"/>
  <c r="N21" i="2"/>
  <c r="M27" i="16"/>
  <c r="M34" i="14"/>
  <c r="M14" i="57"/>
  <c r="M18" i="57"/>
  <c r="M22" i="57"/>
  <c r="M17" i="7"/>
  <c r="M18" i="7"/>
  <c r="M22" i="7"/>
  <c r="M10" i="48"/>
  <c r="N33" i="2"/>
  <c r="N32" i="2"/>
  <c r="N31" i="2"/>
  <c r="N30" i="2"/>
  <c r="N29" i="2"/>
  <c r="N28" i="2"/>
  <c r="N27" i="2"/>
  <c r="N26" i="2"/>
  <c r="N25" i="2"/>
  <c r="N24" i="2"/>
  <c r="N23" i="2"/>
  <c r="N22" i="2"/>
  <c r="N20" i="2"/>
  <c r="N19" i="2"/>
  <c r="N18" i="2"/>
  <c r="N17" i="2"/>
  <c r="N16" i="2"/>
  <c r="N15" i="2"/>
  <c r="N14" i="2"/>
  <c r="N13" i="2"/>
  <c r="N12" i="2"/>
  <c r="N11" i="2"/>
  <c r="N10" i="2"/>
  <c r="N33" i="4"/>
  <c r="N32" i="4"/>
  <c r="N31" i="4"/>
  <c r="N30" i="4"/>
  <c r="N29" i="4"/>
  <c r="N28" i="4"/>
  <c r="N27" i="4"/>
  <c r="N10" i="4"/>
  <c r="D53" i="12"/>
  <c r="D52" i="12"/>
  <c r="D51" i="12"/>
  <c r="D49" i="12"/>
  <c r="D48" i="12"/>
  <c r="D47" i="12"/>
  <c r="D46" i="12"/>
  <c r="D45" i="12"/>
  <c r="D44" i="12"/>
  <c r="D43" i="12"/>
  <c r="D42" i="12"/>
  <c r="D41" i="12"/>
  <c r="D40" i="12"/>
  <c r="D39" i="12"/>
  <c r="D38" i="12"/>
  <c r="D37" i="12"/>
  <c r="D36" i="12"/>
  <c r="D35" i="12"/>
  <c r="D34" i="12"/>
  <c r="D33" i="12"/>
  <c r="D32" i="12"/>
  <c r="D31" i="12"/>
  <c r="D30" i="12"/>
  <c r="D29" i="12"/>
  <c r="B30" i="25"/>
  <c r="N34" i="2"/>
  <c r="B48" i="2"/>
  <c r="B47" i="2"/>
  <c r="M47" i="2"/>
  <c r="B50" i="2"/>
  <c r="J29" i="25"/>
  <c r="C50" i="2"/>
  <c r="N36" i="59"/>
  <c r="J35" i="48"/>
  <c r="N37" i="60"/>
  <c r="A36" i="2"/>
  <c r="N37" i="59"/>
  <c r="A50" i="2"/>
  <c r="M50" i="2"/>
  <c r="J27" i="25"/>
  <c r="N34" i="4"/>
  <c r="B94" i="10"/>
  <c r="M43" i="2"/>
  <c r="C47" i="25"/>
  <c r="J47" i="25"/>
  <c r="B43" i="2"/>
  <c r="C43" i="2"/>
  <c r="D94" i="10"/>
  <c r="H53" i="12"/>
  <c r="G53" i="12"/>
  <c r="B1" i="39"/>
  <c r="H52" i="12"/>
  <c r="G31" i="69"/>
  <c r="G31" i="68"/>
  <c r="G31" i="12"/>
  <c r="N37" i="7"/>
  <c r="D25" i="61"/>
  <c r="D22" i="61"/>
  <c r="E3" i="86"/>
  <c r="G3" i="86" s="1"/>
  <c r="B41" i="8"/>
  <c r="E5" i="74"/>
  <c r="M35" i="43"/>
  <c r="B52" i="44"/>
  <c r="M52" i="44"/>
  <c r="A52" i="44"/>
  <c r="C52" i="44"/>
  <c r="B52" i="43"/>
  <c r="M52" i="43"/>
  <c r="B50" i="34"/>
  <c r="A50" i="34"/>
  <c r="A53" i="34"/>
  <c r="A59" i="8"/>
  <c r="J38" i="25"/>
  <c r="J45" i="25"/>
  <c r="J39" i="25"/>
  <c r="K41" i="8"/>
  <c r="D38" i="8"/>
  <c r="G22" i="61"/>
  <c r="C38" i="8"/>
  <c r="H35" i="69"/>
  <c r="B55" i="8"/>
  <c r="F35" i="48"/>
  <c r="C52" i="60"/>
  <c r="B47" i="9"/>
  <c r="B48" i="9"/>
  <c r="M51" i="9"/>
  <c r="B50" i="9"/>
  <c r="A50" i="9"/>
  <c r="B48" i="57"/>
  <c r="B50" i="57"/>
  <c r="C50" i="57"/>
  <c r="M50" i="57"/>
  <c r="M35" i="57"/>
  <c r="N36" i="7"/>
  <c r="A52" i="52"/>
  <c r="C52" i="52"/>
  <c r="M52" i="52"/>
  <c r="E5" i="42"/>
  <c r="D4" i="42"/>
  <c r="B51" i="42"/>
  <c r="C51" i="42"/>
  <c r="M51" i="42"/>
  <c r="B52" i="48"/>
  <c r="M52" i="48"/>
  <c r="E3" i="1"/>
  <c r="E3" i="60" s="1"/>
  <c r="E3" i="45"/>
  <c r="G3" i="45" s="1"/>
  <c r="B61" i="8"/>
  <c r="F41" i="8"/>
  <c r="J41" i="8"/>
  <c r="N37" i="4"/>
  <c r="M51" i="57"/>
  <c r="C50" i="9"/>
  <c r="M50" i="9"/>
  <c r="A52" i="48"/>
  <c r="C52" i="48"/>
  <c r="M51" i="16"/>
  <c r="B65" i="25"/>
  <c r="D65" i="25"/>
  <c r="B46" i="67"/>
  <c r="D46" i="67"/>
  <c r="K38" i="12"/>
  <c r="L38" i="12"/>
  <c r="J49" i="12"/>
  <c r="J31" i="12"/>
  <c r="J34" i="12"/>
  <c r="J46" i="12"/>
  <c r="J48" i="12"/>
  <c r="G37" i="69"/>
  <c r="G50" i="12"/>
  <c r="G47" i="12"/>
  <c r="G42" i="12"/>
  <c r="G41" i="12"/>
  <c r="G41" i="72"/>
  <c r="G41" i="68"/>
  <c r="G38" i="12"/>
  <c r="G39" i="68"/>
  <c r="G39" i="12"/>
  <c r="G39" i="72"/>
  <c r="B50" i="52"/>
  <c r="C26" i="61"/>
  <c r="C23" i="61"/>
  <c r="C25" i="61"/>
  <c r="B46" i="1"/>
  <c r="B45" i="1"/>
  <c r="B44" i="1"/>
  <c r="C22" i="61"/>
  <c r="C28" i="61"/>
  <c r="C30" i="61"/>
  <c r="C31" i="61"/>
  <c r="G45" i="81"/>
  <c r="I7" i="79"/>
  <c r="F7" i="93"/>
  <c r="I17" i="79"/>
  <c r="F17" i="93"/>
  <c r="H8" i="81"/>
  <c r="H45" i="81"/>
  <c r="I9" i="79"/>
  <c r="F9" i="93"/>
  <c r="G20" i="79"/>
  <c r="I20" i="79"/>
  <c r="F20" i="93"/>
  <c r="G45" i="80"/>
  <c r="I6" i="79"/>
  <c r="F6" i="93"/>
  <c r="I12" i="79"/>
  <c r="F12" i="93"/>
  <c r="I16" i="79"/>
  <c r="F16" i="93"/>
  <c r="H11" i="80"/>
  <c r="H45" i="80"/>
  <c r="C37" i="65"/>
  <c r="I8" i="81"/>
  <c r="I45" i="81"/>
  <c r="N14" i="4"/>
  <c r="I13" i="79"/>
  <c r="F13" i="93"/>
  <c r="G5" i="79"/>
  <c r="D39" i="65"/>
  <c r="F35" i="4"/>
  <c r="E35" i="4"/>
  <c r="H23" i="61"/>
  <c r="I11" i="80"/>
  <c r="I45" i="80"/>
  <c r="N11" i="4"/>
  <c r="N19" i="4"/>
  <c r="N17" i="4"/>
  <c r="N13" i="4"/>
  <c r="J21" i="65"/>
  <c r="B37" i="65"/>
  <c r="J17" i="65"/>
  <c r="N20" i="4"/>
  <c r="N21" i="4"/>
  <c r="N24" i="4"/>
  <c r="N22" i="4"/>
  <c r="N18" i="4"/>
  <c r="N23" i="4"/>
  <c r="H39" i="65"/>
  <c r="N12" i="4"/>
  <c r="I10" i="79"/>
  <c r="F10" i="93"/>
  <c r="N16" i="4"/>
  <c r="N15" i="4"/>
  <c r="I35" i="4"/>
  <c r="H28" i="61"/>
  <c r="J12" i="65"/>
  <c r="I39" i="65"/>
  <c r="J35" i="4"/>
  <c r="H10" i="25"/>
  <c r="L35" i="4"/>
  <c r="H31" i="61"/>
  <c r="I10" i="25"/>
  <c r="K35" i="4"/>
  <c r="H30" i="61"/>
  <c r="M38" i="8"/>
  <c r="B65" i="8"/>
  <c r="C65" i="8"/>
  <c r="M65" i="8"/>
  <c r="B57" i="8"/>
  <c r="G21" i="61"/>
  <c r="G24" i="61"/>
  <c r="G26" i="61"/>
  <c r="G32" i="61"/>
  <c r="C41" i="8"/>
  <c r="H35" i="12"/>
  <c r="L41" i="8"/>
  <c r="D41" i="8"/>
  <c r="I41" i="8"/>
  <c r="G35" i="12"/>
  <c r="A65" i="8"/>
  <c r="B56" i="8"/>
  <c r="E41" i="8"/>
  <c r="G35" i="69"/>
  <c r="F32" i="61"/>
  <c r="C29" i="61"/>
  <c r="M25" i="1"/>
  <c r="B35" i="1"/>
  <c r="G29" i="69"/>
  <c r="B47" i="7"/>
  <c r="B50" i="7"/>
  <c r="C50" i="7"/>
  <c r="M50" i="7"/>
  <c r="J11" i="80"/>
  <c r="H30" i="69"/>
  <c r="J30" i="69"/>
  <c r="D21" i="61"/>
  <c r="D24" i="61"/>
  <c r="B48" i="7"/>
  <c r="H30" i="12"/>
  <c r="J30" i="12"/>
  <c r="B46" i="79"/>
  <c r="B49" i="79"/>
  <c r="B47" i="1"/>
  <c r="M50" i="52"/>
  <c r="A50" i="52"/>
  <c r="B50" i="59"/>
  <c r="A50" i="59"/>
  <c r="G37" i="65"/>
  <c r="J22" i="65"/>
  <c r="C50" i="52"/>
  <c r="E39" i="65"/>
  <c r="B52" i="59"/>
  <c r="M52" i="59"/>
  <c r="A52" i="59"/>
  <c r="E37" i="65"/>
  <c r="H41" i="8"/>
  <c r="D26" i="61"/>
  <c r="M35" i="7"/>
  <c r="G37" i="2"/>
  <c r="M35" i="2"/>
  <c r="N35" i="2"/>
  <c r="M35" i="44"/>
  <c r="J44" i="25"/>
  <c r="J40" i="25"/>
  <c r="J36" i="25"/>
  <c r="G35" i="48"/>
  <c r="M35" i="48"/>
  <c r="M25" i="48"/>
  <c r="D37" i="65"/>
  <c r="C52" i="59"/>
  <c r="J14" i="65"/>
  <c r="I15" i="79"/>
  <c r="F15" i="93"/>
  <c r="J15" i="65"/>
  <c r="F37" i="65"/>
  <c r="J11" i="65"/>
  <c r="E32" i="61"/>
  <c r="A52" i="60"/>
  <c r="B52" i="60"/>
  <c r="M52" i="60"/>
  <c r="M35" i="22"/>
  <c r="B63" i="8"/>
  <c r="C50" i="34"/>
  <c r="M50" i="34"/>
  <c r="N36" i="2"/>
  <c r="N37" i="2"/>
  <c r="C60" i="8"/>
  <c r="C59" i="8"/>
  <c r="G41" i="8"/>
  <c r="M36" i="76"/>
  <c r="A36" i="76"/>
  <c r="J32" i="61"/>
  <c r="I14" i="79"/>
  <c r="F14" i="93"/>
  <c r="I5" i="79"/>
  <c r="F5" i="93"/>
  <c r="C39" i="65"/>
  <c r="G46" i="12"/>
  <c r="G34" i="68"/>
  <c r="G34" i="12"/>
  <c r="D46" i="79"/>
  <c r="D49" i="79"/>
  <c r="J30" i="25"/>
  <c r="H50" i="12"/>
  <c r="J50" i="12"/>
  <c r="I30" i="61"/>
  <c r="H47" i="69"/>
  <c r="J47" i="69"/>
  <c r="H47" i="12"/>
  <c r="J47" i="12"/>
  <c r="I28" i="61"/>
  <c r="I31" i="61"/>
  <c r="H41" i="12"/>
  <c r="J41" i="12"/>
  <c r="H41" i="68"/>
  <c r="J41" i="68"/>
  <c r="I22" i="61"/>
  <c r="H41" i="72"/>
  <c r="J41" i="72"/>
  <c r="H38" i="12"/>
  <c r="I23" i="61"/>
  <c r="B47" i="35"/>
  <c r="I21" i="61"/>
  <c r="H39" i="72"/>
  <c r="J39" i="72"/>
  <c r="H39" i="68"/>
  <c r="J39" i="68"/>
  <c r="H39" i="12"/>
  <c r="B50" i="35"/>
  <c r="A50" i="35"/>
  <c r="B48" i="35"/>
  <c r="G46" i="79"/>
  <c r="G49" i="79"/>
  <c r="J19" i="65"/>
  <c r="J20" i="65"/>
  <c r="J24" i="65"/>
  <c r="J13" i="65"/>
  <c r="G39" i="65"/>
  <c r="J16" i="65"/>
  <c r="J25" i="65"/>
  <c r="H29" i="61"/>
  <c r="H30" i="67"/>
  <c r="H25" i="61"/>
  <c r="B47" i="4"/>
  <c r="F39" i="65"/>
  <c r="G37" i="68"/>
  <c r="C46" i="79"/>
  <c r="C49" i="79"/>
  <c r="J10" i="65"/>
  <c r="E46" i="79"/>
  <c r="E49" i="79"/>
  <c r="J20" i="25"/>
  <c r="B30" i="67"/>
  <c r="J23" i="25"/>
  <c r="J12" i="25"/>
  <c r="J22" i="25"/>
  <c r="J16" i="25"/>
  <c r="J11" i="25"/>
  <c r="J24" i="25"/>
  <c r="J13" i="25"/>
  <c r="J18" i="25"/>
  <c r="J15" i="25"/>
  <c r="G29" i="12"/>
  <c r="G29" i="72"/>
  <c r="H16" i="72"/>
  <c r="G29" i="68"/>
  <c r="A50" i="7"/>
  <c r="D32" i="61"/>
  <c r="B52" i="2"/>
  <c r="M52" i="2"/>
  <c r="C52" i="2"/>
  <c r="A52" i="2"/>
  <c r="A63" i="8"/>
  <c r="C63" i="8"/>
  <c r="M63" i="8"/>
  <c r="J30" i="67"/>
  <c r="H29" i="72"/>
  <c r="J29" i="72"/>
  <c r="H29" i="12"/>
  <c r="J29" i="12"/>
  <c r="B50" i="1"/>
  <c r="B48" i="1"/>
  <c r="H29" i="69"/>
  <c r="J29" i="69"/>
  <c r="H29" i="68"/>
  <c r="J29" i="68"/>
  <c r="C21" i="61"/>
  <c r="A50" i="1"/>
  <c r="C50" i="1"/>
  <c r="M50" i="1"/>
  <c r="C24" i="61"/>
  <c r="C32" i="61"/>
  <c r="G28" i="25"/>
  <c r="F28" i="25"/>
  <c r="K26" i="61"/>
  <c r="H28" i="25"/>
  <c r="K25" i="61"/>
  <c r="C49" i="85"/>
  <c r="M49" i="85"/>
  <c r="G36" i="69"/>
  <c r="G36" i="12"/>
  <c r="B52" i="85"/>
  <c r="H36" i="69"/>
  <c r="J36" i="69"/>
  <c r="H36" i="12"/>
  <c r="J36" i="12"/>
  <c r="K21" i="61"/>
  <c r="H36" i="68"/>
  <c r="J36" i="68"/>
  <c r="B28" i="25"/>
  <c r="I28" i="25"/>
  <c r="J28" i="25"/>
  <c r="C48" i="85"/>
  <c r="M48" i="85"/>
  <c r="C47" i="85"/>
  <c r="M47" i="85"/>
  <c r="C45" i="85"/>
  <c r="D45" i="85"/>
  <c r="G32" i="68"/>
  <c r="G32" i="12"/>
  <c r="G5" i="74"/>
  <c r="D4" i="74"/>
  <c r="E5" i="65"/>
  <c r="E5" i="48"/>
  <c r="E5" i="44"/>
  <c r="G5" i="44"/>
  <c r="E5" i="45"/>
  <c r="E5" i="4"/>
  <c r="E5" i="76"/>
  <c r="E5" i="41"/>
  <c r="G5" i="41"/>
  <c r="E5" i="75"/>
  <c r="E5" i="25"/>
  <c r="E5" i="17"/>
  <c r="E5" i="16"/>
  <c r="G5" i="16"/>
  <c r="B44" i="16"/>
  <c r="E5" i="35"/>
  <c r="E5" i="22"/>
  <c r="E5" i="85"/>
  <c r="E5" i="9"/>
  <c r="G5" i="9"/>
  <c r="E5" i="8"/>
  <c r="E5" i="43"/>
  <c r="E5" i="2"/>
  <c r="E5" i="1"/>
  <c r="G5" i="1"/>
  <c r="E5" i="86"/>
  <c r="E5" i="34"/>
  <c r="L21" i="61"/>
  <c r="L32" i="61"/>
  <c r="M45" i="85"/>
  <c r="G5" i="34"/>
  <c r="D4" i="34"/>
  <c r="B51" i="34"/>
  <c r="M51" i="34"/>
  <c r="G5" i="43"/>
  <c r="D4" i="43"/>
  <c r="B51" i="43"/>
  <c r="G5" i="22"/>
  <c r="D4" i="22"/>
  <c r="B51" i="22"/>
  <c r="C51" i="22"/>
  <c r="M51" i="22"/>
  <c r="F6" i="22"/>
  <c r="C43" i="22" s="1"/>
  <c r="M43" i="22" s="1"/>
  <c r="N2" i="22" s="1"/>
  <c r="A2" i="22" s="1"/>
  <c r="G5" i="25"/>
  <c r="D4" i="25"/>
  <c r="G5" i="4"/>
  <c r="C47" i="4"/>
  <c r="M47" i="4"/>
  <c r="D4" i="4"/>
  <c r="D4" i="65"/>
  <c r="G5" i="65"/>
  <c r="G5" i="86"/>
  <c r="D4" i="86"/>
  <c r="G5" i="8"/>
  <c r="C55" i="8"/>
  <c r="D4" i="8"/>
  <c r="D4" i="35"/>
  <c r="G5" i="35"/>
  <c r="D4" i="75"/>
  <c r="B51" i="75"/>
  <c r="A51" i="75"/>
  <c r="G5" i="75"/>
  <c r="G5" i="45"/>
  <c r="D4" i="45"/>
  <c r="E5" i="57"/>
  <c r="G5" i="57"/>
  <c r="E5" i="14"/>
  <c r="D4" i="14"/>
  <c r="E5" i="7"/>
  <c r="G5" i="7"/>
  <c r="D4" i="16"/>
  <c r="D4" i="2"/>
  <c r="B51" i="2"/>
  <c r="G5" i="2"/>
  <c r="G5" i="85"/>
  <c r="D4" i="85"/>
  <c r="D4" i="17"/>
  <c r="G5" i="17"/>
  <c r="D4" i="76"/>
  <c r="B51" i="76"/>
  <c r="G5" i="76"/>
  <c r="G5" i="48"/>
  <c r="N1" i="48"/>
  <c r="D4" i="48"/>
  <c r="F6" i="74"/>
  <c r="I46" i="69" s="1"/>
  <c r="B51" i="74"/>
  <c r="A51" i="74"/>
  <c r="C61" i="8"/>
  <c r="M61" i="8"/>
  <c r="C58" i="8"/>
  <c r="M58" i="8"/>
  <c r="C53" i="8"/>
  <c r="M53" i="8"/>
  <c r="C54" i="8"/>
  <c r="M54" i="8"/>
  <c r="C52" i="8"/>
  <c r="M52" i="8"/>
  <c r="C51" i="8"/>
  <c r="M51" i="8"/>
  <c r="C56" i="8"/>
  <c r="M56" i="8"/>
  <c r="C50" i="8"/>
  <c r="M50" i="8"/>
  <c r="M55" i="8"/>
  <c r="C51" i="74"/>
  <c r="M51" i="74"/>
  <c r="B51" i="45"/>
  <c r="C47" i="35"/>
  <c r="M47" i="35"/>
  <c r="B52" i="35"/>
  <c r="C52" i="35"/>
  <c r="M52" i="35"/>
  <c r="B51" i="86"/>
  <c r="C51" i="86"/>
  <c r="M51" i="86"/>
  <c r="A51" i="34"/>
  <c r="J35" i="69"/>
  <c r="J35" i="12"/>
  <c r="G5" i="14"/>
  <c r="A51" i="22"/>
  <c r="A51" i="45"/>
  <c r="C51" i="45"/>
  <c r="M51" i="45"/>
  <c r="J32" i="68"/>
  <c r="J32" i="69"/>
  <c r="J32" i="12"/>
  <c r="A44" i="16"/>
  <c r="C44" i="16"/>
  <c r="M44" i="16"/>
  <c r="B52" i="57"/>
  <c r="C47" i="57"/>
  <c r="M47" i="57"/>
  <c r="C46" i="1"/>
  <c r="M46" i="1"/>
  <c r="C47" i="1"/>
  <c r="M47" i="1"/>
  <c r="C44" i="1"/>
  <c r="M44" i="1"/>
  <c r="B52" i="1"/>
  <c r="A51" i="76"/>
  <c r="C51" i="76"/>
  <c r="M51" i="76"/>
  <c r="N2" i="76"/>
  <c r="A2" i="76"/>
  <c r="C47" i="7"/>
  <c r="M47" i="7"/>
  <c r="B52" i="7"/>
  <c r="G5" i="67"/>
  <c r="D4" i="67"/>
  <c r="M51" i="2"/>
  <c r="A51" i="2"/>
  <c r="C51" i="2"/>
  <c r="B52" i="9"/>
  <c r="C47" i="9"/>
  <c r="M47" i="9"/>
  <c r="N1" i="2"/>
  <c r="F6" i="14"/>
  <c r="C43" i="14" s="1"/>
  <c r="B51" i="14"/>
  <c r="A51" i="43"/>
  <c r="C51" i="43"/>
  <c r="M51" i="43"/>
  <c r="A1" i="2"/>
  <c r="B52" i="4"/>
  <c r="A52" i="4"/>
  <c r="N2" i="48"/>
  <c r="B54" i="67"/>
  <c r="D54" i="67"/>
  <c r="D4" i="57"/>
  <c r="D4" i="44"/>
  <c r="B51" i="44"/>
  <c r="E5" i="58"/>
  <c r="G5" i="42"/>
  <c r="A1" i="48"/>
  <c r="D4" i="7"/>
  <c r="C51" i="34"/>
  <c r="N2" i="2"/>
  <c r="A2" i="48"/>
  <c r="C47" i="2"/>
  <c r="D4" i="41"/>
  <c r="D4" i="9"/>
  <c r="E5" i="52"/>
  <c r="D4" i="52"/>
  <c r="B51" i="52"/>
  <c r="E5" i="60"/>
  <c r="D4" i="60"/>
  <c r="A2" i="2"/>
  <c r="E5" i="59"/>
  <c r="D4" i="59"/>
  <c r="B51" i="59"/>
  <c r="D4" i="1"/>
  <c r="B51" i="1"/>
  <c r="C43" i="74"/>
  <c r="M43" i="74" s="1"/>
  <c r="N2" i="74" s="1"/>
  <c r="E3" i="7"/>
  <c r="F6" i="7"/>
  <c r="E3" i="14"/>
  <c r="E3" i="43"/>
  <c r="G3" i="43" s="1"/>
  <c r="E3" i="4"/>
  <c r="E3" i="25"/>
  <c r="G3" i="25" s="1"/>
  <c r="E3" i="8"/>
  <c r="E3" i="76"/>
  <c r="G3" i="76"/>
  <c r="E3" i="41"/>
  <c r="G3" i="41" s="1"/>
  <c r="F6" i="86"/>
  <c r="F6" i="45"/>
  <c r="G3" i="1"/>
  <c r="C45" i="1"/>
  <c r="M45" i="1"/>
  <c r="E3" i="58"/>
  <c r="E3" i="35"/>
  <c r="E3" i="9"/>
  <c r="E3" i="65"/>
  <c r="G3" i="65" s="1"/>
  <c r="E3" i="44"/>
  <c r="G3" i="44"/>
  <c r="E3" i="16"/>
  <c r="G3" i="16" s="1"/>
  <c r="E3" i="48"/>
  <c r="G3" i="48" s="1"/>
  <c r="F6" i="1"/>
  <c r="I29" i="72" s="1"/>
  <c r="I29" i="68"/>
  <c r="E3" i="57"/>
  <c r="F6" i="57"/>
  <c r="E3" i="52"/>
  <c r="E3" i="42"/>
  <c r="G3" i="42" s="1"/>
  <c r="E3" i="22"/>
  <c r="G3" i="22" s="1"/>
  <c r="E3" i="17"/>
  <c r="E3" i="74"/>
  <c r="G3" i="74" s="1"/>
  <c r="E3" i="75"/>
  <c r="G3" i="75"/>
  <c r="E3" i="85"/>
  <c r="G3" i="85" s="1"/>
  <c r="F11" i="93"/>
  <c r="J39" i="69"/>
  <c r="J8" i="81"/>
  <c r="J45" i="80"/>
  <c r="B33" i="87"/>
  <c r="B30" i="87"/>
  <c r="F49" i="93"/>
  <c r="C30" i="67"/>
  <c r="J10" i="25"/>
  <c r="I30" i="67"/>
  <c r="G30" i="67"/>
  <c r="A51" i="86"/>
  <c r="E30" i="67"/>
  <c r="N1" i="76"/>
  <c r="C51" i="75"/>
  <c r="M51" i="75"/>
  <c r="N1" i="75"/>
  <c r="A51" i="42"/>
  <c r="D30" i="67"/>
  <c r="J21" i="25"/>
  <c r="J39" i="12"/>
  <c r="A52" i="35"/>
  <c r="I24" i="61"/>
  <c r="I32" i="61"/>
  <c r="C50" i="35"/>
  <c r="M50" i="35"/>
  <c r="H16" i="68"/>
  <c r="N1" i="74"/>
  <c r="A1" i="74" s="1"/>
  <c r="A2" i="74"/>
  <c r="B43" i="74"/>
  <c r="I46" i="12"/>
  <c r="I30" i="68"/>
  <c r="I30" i="12"/>
  <c r="F46" i="79"/>
  <c r="F49" i="79"/>
  <c r="I49" i="79"/>
  <c r="J26" i="25"/>
  <c r="I37" i="65"/>
  <c r="C50" i="59"/>
  <c r="J23" i="65"/>
  <c r="H37" i="65"/>
  <c r="H49" i="25"/>
  <c r="C52" i="4"/>
  <c r="M52" i="4"/>
  <c r="J18" i="65"/>
  <c r="J37" i="65"/>
  <c r="M26" i="4"/>
  <c r="N26" i="4"/>
  <c r="C35" i="4"/>
  <c r="F30" i="67"/>
  <c r="G49" i="25"/>
  <c r="C49" i="25"/>
  <c r="M50" i="59"/>
  <c r="M25" i="4"/>
  <c r="N25" i="4"/>
  <c r="F49" i="25"/>
  <c r="I49" i="25"/>
  <c r="E49" i="25"/>
  <c r="H16" i="69"/>
  <c r="K32" i="61"/>
  <c r="H16" i="12"/>
  <c r="A50" i="57"/>
  <c r="I48" i="69"/>
  <c r="B64" i="25"/>
  <c r="D64" i="25"/>
  <c r="B45" i="67"/>
  <c r="D45" i="67"/>
  <c r="A52" i="7"/>
  <c r="C52" i="7"/>
  <c r="M52" i="7"/>
  <c r="F6" i="41"/>
  <c r="B51" i="41"/>
  <c r="G5" i="58"/>
  <c r="D4" i="58"/>
  <c r="B51" i="58"/>
  <c r="C52" i="57"/>
  <c r="M52" i="57"/>
  <c r="A52" i="57"/>
  <c r="A51" i="59"/>
  <c r="C51" i="59"/>
  <c r="M51" i="59"/>
  <c r="N1" i="43"/>
  <c r="N2" i="43"/>
  <c r="A2" i="43"/>
  <c r="A51" i="44"/>
  <c r="C51" i="44"/>
  <c r="M51" i="44"/>
  <c r="C51" i="14"/>
  <c r="M51" i="14"/>
  <c r="A51" i="14"/>
  <c r="C52" i="9"/>
  <c r="M52" i="9"/>
  <c r="A52" i="9"/>
  <c r="B73" i="25"/>
  <c r="D73" i="25"/>
  <c r="N2" i="75"/>
  <c r="K51" i="72"/>
  <c r="L51" i="72"/>
  <c r="A52" i="1"/>
  <c r="C52" i="1"/>
  <c r="M52" i="1"/>
  <c r="A2" i="75"/>
  <c r="A51" i="1"/>
  <c r="C51" i="1"/>
  <c r="M51" i="1"/>
  <c r="C51" i="52"/>
  <c r="M51" i="52"/>
  <c r="A51" i="52"/>
  <c r="M43" i="14"/>
  <c r="F6" i="85"/>
  <c r="B43" i="85" s="1"/>
  <c r="F6" i="25"/>
  <c r="F6" i="42"/>
  <c r="G3" i="9"/>
  <c r="F6" i="9"/>
  <c r="C43" i="45"/>
  <c r="M43" i="45" s="1"/>
  <c r="F6" i="8"/>
  <c r="C48" i="8" s="1"/>
  <c r="M48" i="8" s="1"/>
  <c r="N1" i="8" s="1"/>
  <c r="G3" i="8"/>
  <c r="I29" i="12"/>
  <c r="B43" i="1"/>
  <c r="C43" i="1"/>
  <c r="M43" i="1" s="1"/>
  <c r="N2" i="1" s="1"/>
  <c r="A2" i="1" s="1"/>
  <c r="F6" i="16"/>
  <c r="C43" i="16" s="1"/>
  <c r="M43" i="16" s="1"/>
  <c r="N2" i="16" s="1"/>
  <c r="F6" i="35"/>
  <c r="G3" i="35"/>
  <c r="B43" i="86"/>
  <c r="I50" i="12"/>
  <c r="I50" i="69"/>
  <c r="C43" i="86"/>
  <c r="M43" i="86" s="1"/>
  <c r="B43" i="7"/>
  <c r="I30" i="69"/>
  <c r="C43" i="7"/>
  <c r="M43" i="7" s="1"/>
  <c r="F6" i="67"/>
  <c r="G3" i="17"/>
  <c r="F6" i="17"/>
  <c r="C43" i="17" s="1"/>
  <c r="M43" i="17" s="1"/>
  <c r="N1" i="17" s="1"/>
  <c r="C43" i="57"/>
  <c r="M43" i="57"/>
  <c r="N1" i="57" s="1"/>
  <c r="B43" i="57"/>
  <c r="I31" i="12"/>
  <c r="I31" i="68"/>
  <c r="I31" i="69"/>
  <c r="G3" i="4"/>
  <c r="F6" i="4"/>
  <c r="I37" i="68" s="1"/>
  <c r="C21" i="90"/>
  <c r="C27" i="87"/>
  <c r="C30" i="87"/>
  <c r="F8" i="93"/>
  <c r="F46" i="93"/>
  <c r="J45" i="81"/>
  <c r="N37" i="65"/>
  <c r="A1" i="76"/>
  <c r="K43" i="69"/>
  <c r="L43" i="69"/>
  <c r="K43" i="12"/>
  <c r="L43" i="12"/>
  <c r="A1" i="75"/>
  <c r="K51" i="12"/>
  <c r="L51" i="12"/>
  <c r="K51" i="69"/>
  <c r="L51" i="69"/>
  <c r="K42" i="12"/>
  <c r="L42" i="12"/>
  <c r="K42" i="69"/>
  <c r="L42" i="69"/>
  <c r="M35" i="4"/>
  <c r="N35" i="4"/>
  <c r="J39" i="65"/>
  <c r="I46" i="79"/>
  <c r="N36" i="4"/>
  <c r="H21" i="61"/>
  <c r="H37" i="12"/>
  <c r="J37" i="12"/>
  <c r="B50" i="4"/>
  <c r="H37" i="69"/>
  <c r="J37" i="69"/>
  <c r="H37" i="68"/>
  <c r="J37" i="68"/>
  <c r="B48" i="4"/>
  <c r="J25" i="25"/>
  <c r="J49" i="25"/>
  <c r="B49" i="25"/>
  <c r="B51" i="25"/>
  <c r="C51" i="25" s="1"/>
  <c r="C51" i="58"/>
  <c r="M51" i="58"/>
  <c r="A51" i="58"/>
  <c r="F6" i="58"/>
  <c r="N2" i="44"/>
  <c r="A2" i="44"/>
  <c r="N1" i="44"/>
  <c r="K53" i="72"/>
  <c r="L53" i="72"/>
  <c r="K53" i="69"/>
  <c r="L53" i="69"/>
  <c r="A1" i="43"/>
  <c r="K44" i="69"/>
  <c r="L44" i="69"/>
  <c r="K53" i="12"/>
  <c r="L53" i="12"/>
  <c r="K44" i="12"/>
  <c r="L44" i="12"/>
  <c r="B50" i="67"/>
  <c r="D50" i="67"/>
  <c r="B69" i="25"/>
  <c r="D69" i="25"/>
  <c r="C51" i="41"/>
  <c r="M51" i="41"/>
  <c r="A51" i="41"/>
  <c r="I49" i="69"/>
  <c r="B43" i="41"/>
  <c r="C43" i="41"/>
  <c r="M43" i="41"/>
  <c r="N1" i="41"/>
  <c r="I49" i="12"/>
  <c r="B43" i="17"/>
  <c r="I40" i="12"/>
  <c r="I34" i="12"/>
  <c r="C43" i="9"/>
  <c r="M43" i="9"/>
  <c r="N1" i="9" s="1"/>
  <c r="I34" i="69"/>
  <c r="I34" i="68"/>
  <c r="B43" i="9"/>
  <c r="I37" i="69"/>
  <c r="I37" i="12"/>
  <c r="N1" i="1"/>
  <c r="B56" i="25" s="1"/>
  <c r="D56" i="25" s="1"/>
  <c r="B43" i="4"/>
  <c r="N2" i="57"/>
  <c r="A2" i="57" s="1"/>
  <c r="I39" i="69"/>
  <c r="I36" i="12"/>
  <c r="I36" i="68"/>
  <c r="M41" i="85"/>
  <c r="M40" i="85"/>
  <c r="C43" i="85"/>
  <c r="M43" i="85"/>
  <c r="M41" i="16"/>
  <c r="M40" i="16"/>
  <c r="B43" i="16"/>
  <c r="I35" i="69"/>
  <c r="I35" i="12"/>
  <c r="B48" i="8"/>
  <c r="I41" i="69"/>
  <c r="I41" i="72"/>
  <c r="I41" i="68"/>
  <c r="C43" i="42"/>
  <c r="M43" i="42" s="1"/>
  <c r="I41" i="12"/>
  <c r="B43" i="42"/>
  <c r="C33" i="87"/>
  <c r="A50" i="4"/>
  <c r="C50" i="4"/>
  <c r="M50" i="4"/>
  <c r="H24" i="61"/>
  <c r="H32" i="61"/>
  <c r="N2" i="41"/>
  <c r="K49" i="12"/>
  <c r="L49" i="12" s="1"/>
  <c r="A2" i="41"/>
  <c r="B43" i="58"/>
  <c r="I32" i="12"/>
  <c r="C43" i="58"/>
  <c r="M43" i="58"/>
  <c r="N1" i="58" s="1"/>
  <c r="I32" i="68"/>
  <c r="I32" i="69"/>
  <c r="K45" i="69"/>
  <c r="L45" i="69"/>
  <c r="A1" i="44"/>
  <c r="B51" i="67"/>
  <c r="D51" i="67"/>
  <c r="K45" i="12"/>
  <c r="L45" i="12"/>
  <c r="B70" i="25"/>
  <c r="D70" i="25"/>
  <c r="K31" i="68"/>
  <c r="L31" i="68" s="1"/>
  <c r="A2" i="16"/>
  <c r="N1" i="16"/>
  <c r="N2" i="17"/>
  <c r="A2" i="17" s="1"/>
  <c r="A2" i="58"/>
  <c r="A1" i="58"/>
  <c r="K49" i="69"/>
  <c r="L49" i="69" s="1"/>
  <c r="A1" i="9"/>
  <c r="K40" i="12"/>
  <c r="L40" i="12" s="1"/>
  <c r="A1" i="17"/>
  <c r="B48" i="67"/>
  <c r="D48" i="67" s="1"/>
  <c r="B43" i="67" l="1"/>
  <c r="D43" i="67" s="1"/>
  <c r="A1" i="16"/>
  <c r="N2" i="85"/>
  <c r="A2" i="85" s="1"/>
  <c r="N1" i="85"/>
  <c r="A1" i="41"/>
  <c r="B53" i="67"/>
  <c r="D53" i="67" s="1"/>
  <c r="B72" i="25"/>
  <c r="D72" i="25" s="1"/>
  <c r="B58" i="25"/>
  <c r="D58" i="25" s="1"/>
  <c r="K31" i="69"/>
  <c r="L31" i="69" s="1"/>
  <c r="A1" i="57"/>
  <c r="B39" i="67"/>
  <c r="D39" i="67" s="1"/>
  <c r="K31" i="12"/>
  <c r="L31" i="12" s="1"/>
  <c r="N1" i="86"/>
  <c r="A1" i="86" s="1"/>
  <c r="N2" i="86"/>
  <c r="A2" i="45"/>
  <c r="A1" i="45"/>
  <c r="N1" i="45"/>
  <c r="K29" i="12"/>
  <c r="L29" i="12" s="1"/>
  <c r="B37" i="67"/>
  <c r="D37" i="67" s="1"/>
  <c r="K29" i="68"/>
  <c r="L29" i="68" s="1"/>
  <c r="K29" i="69"/>
  <c r="L29" i="69" s="1"/>
  <c r="B61" i="25"/>
  <c r="D61" i="25" s="1"/>
  <c r="N2" i="9"/>
  <c r="K29" i="72"/>
  <c r="L29" i="72" s="1"/>
  <c r="N2" i="8"/>
  <c r="K35" i="69" s="1"/>
  <c r="L35" i="69" s="1"/>
  <c r="N2" i="45"/>
  <c r="N2" i="7"/>
  <c r="A2" i="7" s="1"/>
  <c r="N1" i="7"/>
  <c r="I39" i="68"/>
  <c r="C43" i="35"/>
  <c r="M43" i="35" s="1"/>
  <c r="I39" i="12"/>
  <c r="B43" i="35"/>
  <c r="I39" i="72"/>
  <c r="A1" i="1"/>
  <c r="K46" i="12"/>
  <c r="L46" i="12" s="1"/>
  <c r="K46" i="69"/>
  <c r="L46" i="69" s="1"/>
  <c r="B62" i="25"/>
  <c r="D62" i="25" s="1"/>
  <c r="A1" i="8"/>
  <c r="N1" i="42"/>
  <c r="N2" i="42"/>
  <c r="A2" i="42" s="1"/>
  <c r="K34" i="12"/>
  <c r="L34" i="12" s="1"/>
  <c r="B41" i="67"/>
  <c r="D41" i="67" s="1"/>
  <c r="K34" i="68"/>
  <c r="L34" i="68" s="1"/>
  <c r="B67" i="25"/>
  <c r="D67" i="25" s="1"/>
  <c r="N1" i="14"/>
  <c r="N2" i="14"/>
  <c r="A2" i="14" s="1"/>
  <c r="I47" i="68"/>
  <c r="I47" i="69"/>
  <c r="B43" i="45"/>
  <c r="I47" i="12"/>
  <c r="N1" i="22"/>
  <c r="N2" i="58"/>
  <c r="C59" i="25" s="1"/>
  <c r="E59" i="25" s="1"/>
  <c r="C43" i="4"/>
  <c r="M43" i="4" s="1"/>
  <c r="I36" i="69"/>
  <c r="I29" i="69"/>
  <c r="I33" i="68"/>
  <c r="I48" i="12"/>
  <c r="I33" i="69"/>
  <c r="I33" i="12"/>
  <c r="B43" i="14"/>
  <c r="B43" i="22"/>
  <c r="E3" i="59"/>
  <c r="E3" i="67"/>
  <c r="G3" i="67" s="1"/>
  <c r="E3" i="34"/>
  <c r="G3" i="34" s="1"/>
  <c r="B32" i="67"/>
  <c r="C32" i="67" s="1"/>
  <c r="K48" i="69" l="1"/>
  <c r="L48" i="69" s="1"/>
  <c r="B52" i="67"/>
  <c r="D52" i="67" s="1"/>
  <c r="B71" i="25"/>
  <c r="D71" i="25" s="1"/>
  <c r="K48" i="12"/>
  <c r="L48" i="12" s="1"/>
  <c r="A1" i="22"/>
  <c r="N2" i="35"/>
  <c r="A2" i="35" s="1"/>
  <c r="N1" i="35"/>
  <c r="K47" i="68"/>
  <c r="L47" i="68" s="1"/>
  <c r="K47" i="69"/>
  <c r="L47" i="69" s="1"/>
  <c r="K47" i="12"/>
  <c r="L47" i="12" s="1"/>
  <c r="C52" i="67"/>
  <c r="C71" i="25"/>
  <c r="E71" i="25" s="1"/>
  <c r="K41" i="69"/>
  <c r="L41" i="69" s="1"/>
  <c r="B68" i="25"/>
  <c r="D68" i="25" s="1"/>
  <c r="K41" i="72"/>
  <c r="L41" i="72" s="1"/>
  <c r="A1" i="42"/>
  <c r="B49" i="67"/>
  <c r="D49" i="67" s="1"/>
  <c r="K41" i="68"/>
  <c r="L41" i="68" s="1"/>
  <c r="K41" i="12"/>
  <c r="L41" i="12" s="1"/>
  <c r="K50" i="12"/>
  <c r="L50" i="12" s="1"/>
  <c r="K50" i="69"/>
  <c r="L50" i="69" s="1"/>
  <c r="A2" i="86"/>
  <c r="N1" i="4"/>
  <c r="N2" i="4"/>
  <c r="A2" i="4" s="1"/>
  <c r="K33" i="12"/>
  <c r="L33" i="12" s="1"/>
  <c r="K33" i="68"/>
  <c r="L33" i="68" s="1"/>
  <c r="A1" i="14"/>
  <c r="K33" i="69"/>
  <c r="L33" i="69" s="1"/>
  <c r="B59" i="25"/>
  <c r="D59" i="25" s="1"/>
  <c r="B40" i="67"/>
  <c r="D40" i="67" s="1"/>
  <c r="A2" i="9"/>
  <c r="K34" i="69"/>
  <c r="L34" i="69" s="1"/>
  <c r="K36" i="69"/>
  <c r="L36" i="69" s="1"/>
  <c r="A1" i="85"/>
  <c r="K36" i="12"/>
  <c r="L36" i="12" s="1"/>
  <c r="K36" i="68"/>
  <c r="L36" i="68" s="1"/>
  <c r="K32" i="69"/>
  <c r="L32" i="69" s="1"/>
  <c r="K32" i="68"/>
  <c r="L32" i="68" s="1"/>
  <c r="C40" i="67"/>
  <c r="K32" i="12"/>
  <c r="L32" i="12" s="1"/>
  <c r="B57" i="25"/>
  <c r="D57" i="25" s="1"/>
  <c r="A1" i="7"/>
  <c r="K30" i="69"/>
  <c r="L30" i="69" s="1"/>
  <c r="K30" i="12"/>
  <c r="L30" i="12" s="1"/>
  <c r="K30" i="68"/>
  <c r="L30" i="68" s="1"/>
  <c r="B38" i="67"/>
  <c r="D38" i="67" s="1"/>
  <c r="A2" i="8"/>
  <c r="B42" i="67"/>
  <c r="D42" i="67" s="1"/>
  <c r="K35" i="12"/>
  <c r="L35" i="12" s="1"/>
  <c r="B60" i="25"/>
  <c r="D60" i="25" s="1"/>
  <c r="K37" i="69" l="1"/>
  <c r="L37" i="69" s="1"/>
  <c r="K37" i="68"/>
  <c r="L37" i="68" s="1"/>
  <c r="K37" i="12"/>
  <c r="L37" i="12" s="1"/>
  <c r="B63" i="25"/>
  <c r="D63" i="25" s="1"/>
  <c r="A1" i="4"/>
  <c r="B44" i="67"/>
  <c r="D44" i="67" s="1"/>
  <c r="B36" i="67" s="1"/>
  <c r="B66" i="25"/>
  <c r="D66" i="25" s="1"/>
  <c r="B55" i="25" s="1"/>
  <c r="K39" i="12"/>
  <c r="L39" i="12" s="1"/>
  <c r="K39" i="72"/>
  <c r="L39" i="72" s="1"/>
  <c r="B47" i="67"/>
  <c r="D47" i="67" s="1"/>
  <c r="A1" i="35"/>
  <c r="K39" i="68"/>
  <c r="L39" i="68" s="1"/>
  <c r="K39" i="69"/>
  <c r="L39" i="69" s="1"/>
  <c r="A56" i="25" l="1"/>
  <c r="A55" i="25"/>
  <c r="A57" i="25"/>
  <c r="A36" i="67"/>
  <c r="A37" i="67"/>
  <c r="A38" i="67"/>
  <c r="D36" i="67"/>
</calcChain>
</file>

<file path=xl/sharedStrings.xml><?xml version="1.0" encoding="utf-8"?>
<sst xmlns="http://schemas.openxmlformats.org/spreadsheetml/2006/main" count="4589" uniqueCount="1520">
  <si>
    <t>Date</t>
  </si>
  <si>
    <t>Comments</t>
  </si>
  <si>
    <t>updated all currently displayed cells for $ is right align and center vertical - per shawano</t>
  </si>
  <si>
    <t xml:space="preserve">Corrected the Summary Page - messed up on cell 13 to 10 </t>
  </si>
  <si>
    <t>Change prior year to only display if they are claiming T3 dollars</t>
  </si>
  <si>
    <t>corrected summary total - pulling from b not grand total</t>
  </si>
  <si>
    <t>Added Legal Action information (created new claim form tab and adjusted CAUTAU)</t>
  </si>
  <si>
    <t>Created a more funtional total for the summary page</t>
  </si>
  <si>
    <t>Error if they overexpend their current program income - should always equal what they take in</t>
  </si>
  <si>
    <t>Updated AFCSP between forest and PT 2558</t>
  </si>
  <si>
    <t>Add Marinette ADRC for MiPPA 650 reduce marinette to 2750 - 8-20-18 Deb stated to hold off and keep everything just under Marinette</t>
  </si>
  <si>
    <t>Make Program Income and Program Expenditures not affective until Oct of each year</t>
  </si>
  <si>
    <t>Removed column N, Value issue (M36, M37 and original M52) and corrected the "address issues below" validations in N1 and N2</t>
  </si>
  <si>
    <t>adjust all forms to accommodate legal action and tribes that don't report ie IIIE errors are displaying believing you must have monies spent (and others)</t>
  </si>
  <si>
    <t>allow for over-reporting on individual form until Oct - but do not allow for over claiming - doesn't seem to be a way since we can't tell when they expended all</t>
  </si>
  <si>
    <t>data validation for cells instead of all the error markers - whole numbers, spaces, anything but a number, anything outside of a range</t>
  </si>
  <si>
    <t>fix EBS not counting both sheets against error (Door example)</t>
  </si>
  <si>
    <t>data validation - need to change to allow negative numbers - change 0 to -1000000</t>
  </si>
  <si>
    <t>create MIPPA 19-20 form and validate</t>
  </si>
  <si>
    <t>Deb stated they can expend out more than they take in on program income but not at end of year - leave error only towards end of year</t>
  </si>
  <si>
    <t>IIIB - added in the under percent and excemption box language</t>
  </si>
  <si>
    <t>update AFCSP 18-19 allocations and verify form</t>
  </si>
  <si>
    <t>update NSIP 18-19 form and allocations</t>
  </si>
  <si>
    <t>update SPAP 18-19 allocations and verify form</t>
  </si>
  <si>
    <t>Vilas issue with IIIE form - validate all formulas and errors - and summary page</t>
  </si>
  <si>
    <t>Corrected new MIPPA pulling to Summary</t>
  </si>
  <si>
    <t>Increased to +/- 100000000 for value whole dollars due to Brown's claiming more than a million for other fed and other state</t>
  </si>
  <si>
    <t>Corrected NSIP 19-20 and MIPPA on claim form - need to complete on all claims - did on CAU only on master - ok done</t>
  </si>
  <si>
    <t>create 180A and 180B tabs</t>
  </si>
  <si>
    <t>Updated IIIE and C1 end of year numbers</t>
  </si>
  <si>
    <t>Validated each tab currently displayed (not additional years contracts - make sure you do this in the future) to ensure it's pulling into cert and 180a/b</t>
  </si>
  <si>
    <t>Verified with Sara and Michelle at the state all services on the SCS should be included in IIIB with the exception of meals that should go on C1 or C2. 180B</t>
  </si>
  <si>
    <t>Updated IIIE services to sync with services in SAMS and corrected summary page</t>
  </si>
  <si>
    <t>2019 version update the 180a/b hidden tabs</t>
  </si>
  <si>
    <t>Create Alz new form to align with SAMS new service structure - effective Jan 1, 2019 per Lynn Gall</t>
  </si>
  <si>
    <t>Move all contract ytd to column c and leave other fed, state, local available - going to change 1/1/19 claim form</t>
  </si>
  <si>
    <t>To Do - update SRT reporting tabs</t>
  </si>
  <si>
    <t>Legal Action Notes:  for the 4 forms only have LA allowed for a field, on IIIB x for access to service and in-home servies so no errors (mark everytime) - ongoing</t>
  </si>
  <si>
    <t>updated drop down on claim form for Marinette, still didn't work for him - will keep checking on issue (maybe xcombo box for drop down) ongoing</t>
  </si>
  <si>
    <t>Updated dates on all certificates</t>
  </si>
  <si>
    <t>Validated each tab currently displayed - future contract tabs - to ensure it's pulling into cert and 180a/b</t>
  </si>
  <si>
    <t>Claim Month</t>
  </si>
  <si>
    <t>January 2019</t>
  </si>
  <si>
    <t>Lines 3-15 can be in calendar order for the claim month drop down</t>
  </si>
  <si>
    <t>February 2019</t>
  </si>
  <si>
    <t>March 2019</t>
  </si>
  <si>
    <t>April 2019</t>
  </si>
  <si>
    <t>May 2019</t>
  </si>
  <si>
    <t>June 2019</t>
  </si>
  <si>
    <t>July 2019</t>
  </si>
  <si>
    <t>August 2019</t>
  </si>
  <si>
    <t>September 2019</t>
  </si>
  <si>
    <t>October 2019</t>
  </si>
  <si>
    <t>November 2019</t>
  </si>
  <si>
    <t>December 2019</t>
  </si>
  <si>
    <t>Final Submission 2019</t>
  </si>
  <si>
    <t>Lines 21 - 33 must be in alpabetical order - not by month for the claim form to work correctly.</t>
  </si>
  <si>
    <t>Contract Period - Reg</t>
  </si>
  <si>
    <t>Contract Period - NSIP 18-19</t>
  </si>
  <si>
    <t>Contract Period - NSIP 19-20</t>
  </si>
  <si>
    <t>Contract Period - SPAP 18-19</t>
  </si>
  <si>
    <t>Contract Period - SPAP 19-20</t>
  </si>
  <si>
    <t>Contract Period - SHIP 18-19</t>
  </si>
  <si>
    <t>Contract Period - SHIP 19-20</t>
  </si>
  <si>
    <t>Contract Period - MIPPA 18-19</t>
  </si>
  <si>
    <t>Contract Period - MIPPA 19-20</t>
  </si>
  <si>
    <t>Contract Period - ?</t>
  </si>
  <si>
    <t>January 2019 - December 2019</t>
  </si>
  <si>
    <t>October 2018 - September 2019</t>
  </si>
  <si>
    <t>Non-Submission Period</t>
  </si>
  <si>
    <t>July 2018 - June 2019</t>
  </si>
  <si>
    <t>April 2019 - March 2020</t>
  </si>
  <si>
    <t>July 2019 - June 2020</t>
  </si>
  <si>
    <t>October 2019 - September 2020</t>
  </si>
  <si>
    <t>April 2018 - March 2019</t>
  </si>
  <si>
    <t>f</t>
  </si>
  <si>
    <t>Actual Dates</t>
  </si>
  <si>
    <t>Statements for Claim Form</t>
  </si>
  <si>
    <t>You have over expended for this contract, please contact Deb Mould at 608-243-5674.</t>
  </si>
  <si>
    <t>Final Submission 2015</t>
  </si>
  <si>
    <t>Final Submission 2018</t>
  </si>
  <si>
    <t>January 2018 - December 2018</t>
  </si>
  <si>
    <t>Contract Period - NSIP 16-17</t>
  </si>
  <si>
    <t>October 2016 - September 2017</t>
  </si>
  <si>
    <t>Contract Period - NSIP 17-18</t>
  </si>
  <si>
    <t>October 2017 - September 2018</t>
  </si>
  <si>
    <t>Contract Period - SPAP</t>
  </si>
  <si>
    <t>July 2017 - June 2018</t>
  </si>
  <si>
    <t>Contract Period - SHIP</t>
  </si>
  <si>
    <t>April 2017 - March 2018</t>
  </si>
  <si>
    <t>Contract Period - MM Minigrant</t>
  </si>
  <si>
    <t>June 2011 - May 2012</t>
  </si>
  <si>
    <t>Contract Period - MIPPA</t>
  </si>
  <si>
    <t>NSIP Revital 10/1/16-9/30/17 - #13217</t>
  </si>
  <si>
    <t>NSIP Revital 10/1/17-9/30/18 - #13218</t>
  </si>
  <si>
    <t>COUNTY/TRIBE</t>
  </si>
  <si>
    <t>Adams</t>
  </si>
  <si>
    <t>ADRC of Central WI</t>
  </si>
  <si>
    <t>Ashland</t>
  </si>
  <si>
    <t>Barron</t>
  </si>
  <si>
    <t>Bayfield</t>
  </si>
  <si>
    <t>Brown</t>
  </si>
  <si>
    <t>Buffalo</t>
  </si>
  <si>
    <t>Burnett</t>
  </si>
  <si>
    <t>Calumet</t>
  </si>
  <si>
    <t>Chippewa</t>
  </si>
  <si>
    <t>Clark</t>
  </si>
  <si>
    <t>Columbia</t>
  </si>
  <si>
    <t>Crawford</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</si>
  <si>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</si>
  <si>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</si>
  <si>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</si>
  <si>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</si>
  <si>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</si>
  <si>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</si>
  <si>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</si>
  <si>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</si>
  <si>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</si>
  <si>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</si>
  <si>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</si>
  <si>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</si>
  <si>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</si>
  <si>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</si>
  <si>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</si>
  <si>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</si>
  <si>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</si>
  <si>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</si>
  <si>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</si>
  <si>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</si>
  <si>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</si>
  <si>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Legal Action of WI</t>
  </si>
  <si>
    <t>Lincoln</t>
  </si>
  <si>
    <t>Manitowoc</t>
  </si>
  <si>
    <t>Marathon</t>
  </si>
  <si>
    <t>Marinette</t>
  </si>
  <si>
    <t>Marinette ADRC</t>
  </si>
  <si>
    <t>Marquette</t>
  </si>
  <si>
    <t>Menominee County</t>
  </si>
  <si>
    <t>Monroe</t>
  </si>
  <si>
    <t>North Central Health Care</t>
  </si>
  <si>
    <t>Oconto</t>
  </si>
  <si>
    <t>Oneida</t>
  </si>
  <si>
    <t>Outagamie</t>
  </si>
  <si>
    <t>Ozaukee</t>
  </si>
  <si>
    <t>Pepin</t>
  </si>
  <si>
    <t>Pierce</t>
  </si>
  <si>
    <t>Polk</t>
  </si>
  <si>
    <t>Portage</t>
  </si>
  <si>
    <t>Price</t>
  </si>
  <si>
    <t>Racine</t>
  </si>
  <si>
    <t>Richland</t>
  </si>
  <si>
    <t>Rock</t>
  </si>
  <si>
    <t>Rusk</t>
  </si>
  <si>
    <t>Sauk</t>
  </si>
  <si>
    <t>Sawyer</t>
  </si>
  <si>
    <t>Shawano</t>
  </si>
  <si>
    <t>Sheboygan</t>
  </si>
  <si>
    <t>St. Croix</t>
  </si>
  <si>
    <t>SUN - Iowa</t>
  </si>
  <si>
    <t>SUN - Lafayette</t>
  </si>
  <si>
    <t>Taylor</t>
  </si>
  <si>
    <t>Trempealeau</t>
  </si>
  <si>
    <t>Vernon</t>
  </si>
  <si>
    <t>Vilas</t>
  </si>
  <si>
    <t>Walworth</t>
  </si>
  <si>
    <t>Washburn</t>
  </si>
  <si>
    <t>Washington</t>
  </si>
  <si>
    <t>Washington Co. Human Services</t>
  </si>
  <si>
    <t>Waukesha</t>
  </si>
  <si>
    <t>Waupaca</t>
  </si>
  <si>
    <t>Waushara</t>
  </si>
  <si>
    <t>Winnebago</t>
  </si>
  <si>
    <t>Wood</t>
  </si>
  <si>
    <t>Bad River Chippewa Tribe</t>
  </si>
  <si>
    <t>Ho Chunk Tribe</t>
  </si>
  <si>
    <t>Judicare</t>
  </si>
  <si>
    <t>Lac Courte Oreilles Tribe</t>
  </si>
  <si>
    <t>Lac du Flambeau Tribe</t>
  </si>
  <si>
    <t>Oneida Tribe</t>
  </si>
  <si>
    <t>Potawatomi Tribe</t>
  </si>
  <si>
    <t>Red Cliff Tribe</t>
  </si>
  <si>
    <t>Sokaogan-Chippewa Tribe</t>
  </si>
  <si>
    <t>St. Croix Chippewa Tribe</t>
  </si>
  <si>
    <t>Stockbridge-Munsee Tribe</t>
  </si>
  <si>
    <t>Menominee Tribe</t>
  </si>
  <si>
    <t>Lookup fields</t>
  </si>
  <si>
    <t>III-B</t>
  </si>
  <si>
    <t>III-C-1</t>
  </si>
  <si>
    <t>III-C-2</t>
  </si>
  <si>
    <t>III-D</t>
  </si>
  <si>
    <t>III-E</t>
  </si>
  <si>
    <t>SENIOR</t>
  </si>
  <si>
    <t>AFCSP</t>
  </si>
  <si>
    <t>ELDERLY</t>
  </si>
  <si>
    <t>STATE</t>
  </si>
  <si>
    <t>SHIP 19-20</t>
  </si>
  <si>
    <t>SHIP 18-19</t>
  </si>
  <si>
    <t>MIPPA Grant 19-20</t>
  </si>
  <si>
    <t>MIPPA Grant 18-19</t>
  </si>
  <si>
    <t>SUPP SERV</t>
  </si>
  <si>
    <t>CONG NUTRTN</t>
  </si>
  <si>
    <t>HOME DELVD</t>
  </si>
  <si>
    <t>PREV HLTH</t>
  </si>
  <si>
    <t>NFCSP</t>
  </si>
  <si>
    <t>COMMUNITY</t>
  </si>
  <si>
    <t>CAREGIVER</t>
  </si>
  <si>
    <t>BENEFIT</t>
  </si>
  <si>
    <t>ELDER</t>
  </si>
  <si>
    <t>NSIP 18-19</t>
  </si>
  <si>
    <t>NSIP 19-20</t>
  </si>
  <si>
    <t>Total</t>
  </si>
  <si>
    <t>Total 75018</t>
  </si>
  <si>
    <t>Total 75019</t>
  </si>
  <si>
    <t>Ben Spec Waiver</t>
  </si>
  <si>
    <t>GL Numbers</t>
  </si>
  <si>
    <t>TOTAL</t>
  </si>
  <si>
    <t>SERVICES</t>
  </si>
  <si>
    <t>SUPPORT</t>
  </si>
  <si>
    <t>SPECIALIST</t>
  </si>
  <si>
    <t>ABUSE</t>
  </si>
  <si>
    <t>SPAP 19-20</t>
  </si>
  <si>
    <t>SPAP 18-19</t>
  </si>
  <si>
    <t>X</t>
  </si>
  <si>
    <t>*Lincoln, Langlade, Marathon and Wood</t>
  </si>
  <si>
    <t>*Add to Polk (except EA)</t>
  </si>
  <si>
    <t>*2019 gave back to GWAAR EA</t>
  </si>
  <si>
    <t>*Not sure why we have this - no GL# or allocation</t>
  </si>
  <si>
    <t>*Add to Manitowoc (except EA)</t>
  </si>
  <si>
    <t>*Add to ADRC CW (except EA)</t>
  </si>
  <si>
    <t>*Separate allocation SPAP</t>
  </si>
  <si>
    <t>*See Carrie Notes</t>
  </si>
  <si>
    <t>*Menominee Co gets the EA allocation</t>
  </si>
  <si>
    <t>*Marathon, Lincoln, Langlade EA only</t>
  </si>
  <si>
    <t>*Add Burnett except EA</t>
  </si>
  <si>
    <t>*2019 gave back to GWAAR SPAP</t>
  </si>
  <si>
    <t>*Allocate from Iowa C1, C2, NSIP</t>
  </si>
  <si>
    <t>*Allocate from Lafayette C1, C2, NSIP</t>
  </si>
  <si>
    <t>*Allocate from Washington EA</t>
  </si>
  <si>
    <t>*Remove SHIP/SPAP goes to GWAAR</t>
  </si>
  <si>
    <t>Total Allocations</t>
  </si>
  <si>
    <t xml:space="preserve">As you complete the 2019 Certificate of Claim form you will notice it has been revamped to </t>
  </si>
  <si>
    <t>better assist the Aging Units, our partners and GWAAR to complete more accurate State and</t>
  </si>
  <si>
    <t>Federal reporting.</t>
  </si>
  <si>
    <t>Per state request the AFCSP form has been updated to better reflect reporting requirements.</t>
  </si>
  <si>
    <t>While we strive to provide you with an accurate document, human error at times still exists.</t>
  </si>
  <si>
    <t>This form has been tested but those completing it will be our best source for feedback in the</t>
  </si>
  <si>
    <t>event a correction needs to be made.</t>
  </si>
  <si>
    <t>If you find an error in allocations, formulas or general documentation please contact:</t>
  </si>
  <si>
    <t>fiscal@gwaar.org</t>
  </si>
  <si>
    <t>Thank you for your assistance and patience as we continue to improve.</t>
  </si>
  <si>
    <t>This developed form has been created to assist you to better facilitate your monthly claiming process to the Greater Wisconsin Agency on Aging Resources, Inc.</t>
  </si>
  <si>
    <t>From time to time updates will be made and a revised form redistributed to accommodate allocation revisions and other modifications.</t>
  </si>
  <si>
    <t>In the event you notice a problem with this form please contact fiscal@gwaar.org.  Thank you.</t>
  </si>
  <si>
    <r>
      <t>Instructions:</t>
    </r>
    <r>
      <rPr>
        <b/>
        <sz val="12"/>
        <rFont val="Arial"/>
        <family val="2"/>
      </rPr>
      <t xml:space="preserve">  DO NOT DELETE OR MODIFY THE FORM</t>
    </r>
  </si>
  <si>
    <t>To avoid modifying the template, begin by selecting Save As from your File menu drop down list and save this as Claim Form Template so</t>
  </si>
  <si>
    <t>that you can access a blank document when you begin each months claim.</t>
  </si>
  <si>
    <t>1)</t>
  </si>
  <si>
    <t>Once you have saved the blank template you can save each completed document in the following format:  County or Tribal name, Month and Year of the claim.</t>
  </si>
  <si>
    <t>* Example:  Rusk County February 2019 or Ho Chunk Tribe February 2019</t>
  </si>
  <si>
    <t>2)</t>
  </si>
  <si>
    <t>Begin on the Certificate of Claim tab.</t>
  </si>
  <si>
    <t>a)</t>
  </si>
  <si>
    <t>Select your county, tribe or organization from the drop down list under Agency Name.</t>
  </si>
  <si>
    <t>b)</t>
  </si>
  <si>
    <t>Select the month of this claim from the drop down list under Report Period.</t>
  </si>
  <si>
    <t>c)</t>
  </si>
  <si>
    <t>Type in the date the form was completed and the contact information.</t>
  </si>
  <si>
    <t>3)</t>
  </si>
  <si>
    <t xml:space="preserve">On each applicable tab enter in all required information, such as monthly expenditures, year to date expenditures, cash and in-kind match, </t>
  </si>
  <si>
    <t>other expenditures (federal, state, local), current year program income and expenditures, and prior year program carryover and expenditures.</t>
  </si>
  <si>
    <t>**</t>
  </si>
  <si>
    <r>
      <t xml:space="preserve">If a specific program does not apply to you simply skip over the tab, </t>
    </r>
    <r>
      <rPr>
        <b/>
        <sz val="12"/>
        <rFont val="Arial"/>
        <family val="2"/>
      </rPr>
      <t>do not delete or modify the form as such action will disrupt formula calculations</t>
    </r>
    <r>
      <rPr>
        <sz val="12"/>
        <rFont val="Arial"/>
        <family val="2"/>
      </rPr>
      <t xml:space="preserve">.  </t>
    </r>
  </si>
  <si>
    <t>HOWEVER, even if you are not submitting a financial request for an applicable program, complete all aras above for the current year to date figures.</t>
  </si>
  <si>
    <t>Enter in all dollar amounts as whole dollars, no cents.</t>
  </si>
  <si>
    <t xml:space="preserve">Do not enter more expenditures on the YTD column than what your budget allocation is - stop claiming once you have reached your allocation </t>
  </si>
  <si>
    <t>amount.</t>
  </si>
  <si>
    <t>4)</t>
  </si>
  <si>
    <t>Verify at the bottom of each form that you do not have errors on the form.</t>
  </si>
  <si>
    <t>Note that certain requirements might not be met until the end of the fiscal period, simply monitor each requirement so that you are</t>
  </si>
  <si>
    <t>fulfilling these requirements by the end of the year.</t>
  </si>
  <si>
    <t>5)</t>
  </si>
  <si>
    <r>
      <t xml:space="preserve">Email this completed spreadsheet to fiscal@gwaar.org </t>
    </r>
    <r>
      <rPr>
        <b/>
        <sz val="12"/>
        <rFont val="Arial"/>
        <family val="2"/>
      </rPr>
      <t>by the 15th of each month</t>
    </r>
    <r>
      <rPr>
        <sz val="12"/>
        <rFont val="Arial"/>
        <family val="2"/>
      </rPr>
      <t>.  Ensure that the Certificate of Claim is electronically signed or</t>
    </r>
  </si>
  <si>
    <t>authorized before submitting the claim form.</t>
  </si>
  <si>
    <t>General Guidelines:</t>
  </si>
  <si>
    <t>* Do not modify this form by deleting tabs, columns or rows, or by modifying them in any way shape or form.</t>
  </si>
  <si>
    <t>* Do not claim more expenditures than what your budget allocation is.</t>
  </si>
  <si>
    <t>* A separate claim must be filed each month, whether or not a financial request is being made.</t>
  </si>
  <si>
    <r>
      <t xml:space="preserve">* All claim spreadsheets must be emailed to fiscal@gwaar.org in </t>
    </r>
    <r>
      <rPr>
        <b/>
        <u/>
        <sz val="12"/>
        <rFont val="Arial"/>
        <family val="2"/>
      </rPr>
      <t>Excel format</t>
    </r>
    <r>
      <rPr>
        <b/>
        <sz val="12"/>
        <rFont val="Arial"/>
        <family val="2"/>
      </rPr>
      <t>.</t>
    </r>
  </si>
  <si>
    <t>*Funds used to support OAA service provision are:
(1) expended by agencies administering OAA services.
(2) expended on services to individuals and caregivers eligible for OAA services.
(3) expended on services meeting the definition of OAA services.  (Offered on a contribution basis. Does not include means-tested services.)
(4) entered into SAMS as a Title III service.
**These contracts should be submitted on a separate claim form for drawdown - do not enter in the expenses twice (ie. NSIP expenses should not be claimed on the NSIP form and on the C1 or C2 form, only on the NSIP form)</t>
  </si>
  <si>
    <t>Column Heading</t>
  </si>
  <si>
    <t>Definition</t>
  </si>
  <si>
    <t>Includes:</t>
  </si>
  <si>
    <t>Does NOT Include:</t>
  </si>
  <si>
    <t>Expenditures this Month</t>
  </si>
  <si>
    <r>
      <t xml:space="preserve">Contract funds expended </t>
    </r>
    <r>
      <rPr>
        <u/>
        <sz val="10"/>
        <rFont val="Arial"/>
        <family val="2"/>
      </rPr>
      <t>during the current month</t>
    </r>
    <r>
      <rPr>
        <sz val="10"/>
        <rFont val="Arial"/>
        <family val="2"/>
      </rPr>
      <t xml:space="preserve"> to provide an allowable service.</t>
    </r>
  </si>
  <si>
    <t>Expenses during the month in which payment is requested from the contract amount.</t>
  </si>
  <si>
    <t>Non-contract monthly expenditures.</t>
  </si>
  <si>
    <t>OAA Program Expenditures YTD
(III-B, III-C1, III-C2, III-D, III-E)</t>
  </si>
  <si>
    <t>Title III Older Americans Act (OAA) federal funds expended year to date to provide an allowable service.</t>
  </si>
  <si>
    <t>OAA Allocations
(III-B, III-C1, III-C2, III-D, III-E)</t>
  </si>
  <si>
    <r>
      <t xml:space="preserve">NSIP
SCS
Other Federal Funds
Title VI
</t>
    </r>
    <r>
      <rPr>
        <b/>
        <sz val="10"/>
        <rFont val="Arial"/>
        <family val="2"/>
      </rPr>
      <t>Do not report more than the claim form amount</t>
    </r>
  </si>
  <si>
    <t>Cash Match YTD</t>
  </si>
  <si>
    <r>
      <t xml:space="preserve">Cash contributed by the grantee to support OAA program activities. </t>
    </r>
    <r>
      <rPr>
        <b/>
        <sz val="10"/>
        <rFont val="Arial"/>
        <family val="2"/>
      </rPr>
      <t xml:space="preserve">Include excess match above required level here. </t>
    </r>
  </si>
  <si>
    <t>County Tax Levy
Tribal Funds
Basic County Allocation
Community Aids
Provider Cash Match
AFCSP Match for Title III-E NFCSP</t>
  </si>
  <si>
    <t>Federal Funds
Program income generated by the use of aging funds
State Funds (with the exception of AFCSP Match for IIIE) 
Cash Match to support DOT 85.21 / 85.215 or other non-OAA programs</t>
  </si>
  <si>
    <t>In-Kind Match YTD</t>
  </si>
  <si>
    <r>
      <t xml:space="preserve">Value of goods or services contributed by the grantee to support OAA program activities for which the project would expend cash if not donated. In-kind contributions include the estimated value of donated goods and services and volunteer time, which directly benefit and are specifically related to federal or state-supported activities. The value of property acquired in whole or in part with federal or state funds may not be donated as an in-kind match. In-kind match should be recorded in the general ledger by journal entry. </t>
    </r>
    <r>
      <rPr>
        <b/>
        <sz val="10"/>
        <rFont val="Arial"/>
        <family val="2"/>
      </rPr>
      <t xml:space="preserve">Include excess match above required level here. </t>
    </r>
  </si>
  <si>
    <t>Vendor/Provider In-Kind Match
Value of Volunteer Time
Value of products or goods donated
Value of services donated</t>
  </si>
  <si>
    <t>Federal Funds
Program income generated by the use of aging funds
State Funds</t>
  </si>
  <si>
    <t>Other Federal Expenditures YTD</t>
  </si>
  <si>
    <r>
      <t xml:space="preserve">Non-Older Americans Act federal funds expended  </t>
    </r>
    <r>
      <rPr>
        <b/>
        <sz val="10"/>
        <rFont val="Arial"/>
        <family val="2"/>
      </rPr>
      <t>to support OAA service provision.*</t>
    </r>
  </si>
  <si>
    <t>ACL Grants
Federal Drawdown of Medicaid Dollars (for EBS, I&amp;A)**
MIPPA**
SHIP**</t>
  </si>
  <si>
    <t>Nutrition Services Incentive Program (NSIP)
Title VI
DOT 5310</t>
  </si>
  <si>
    <t>Other State Expenditures YTD</t>
  </si>
  <si>
    <r>
      <t xml:space="preserve">Other state funds expended </t>
    </r>
    <r>
      <rPr>
        <b/>
        <sz val="10"/>
        <rFont val="Arial"/>
        <family val="2"/>
      </rPr>
      <t>to support OAA service provision.*</t>
    </r>
  </si>
  <si>
    <t>ADRC State non-match GPR (for EBS, I&amp;A, HDM assessments)
BADR Nutrition Program Revitalization Grants**
State grants supporting high level EB programs**
EBS State GPR**
Senior Community Services (SCS)**
SPAP**</t>
  </si>
  <si>
    <t>DOT 85.21 / 85.215
Cash Match to support DOT 85.21 / 85.215 or other non-OAA programs
Elder Abuse (EA)
Family Care, IRIS, COP, etc.</t>
  </si>
  <si>
    <t>Other Local Expenditures YTD</t>
  </si>
  <si>
    <r>
      <t xml:space="preserve">Funds from other local sources used </t>
    </r>
    <r>
      <rPr>
        <b/>
        <sz val="10"/>
        <rFont val="Arial"/>
        <family val="2"/>
      </rPr>
      <t>to support OAA service provision</t>
    </r>
    <r>
      <rPr>
        <sz val="10"/>
        <rFont val="Arial"/>
        <family val="2"/>
      </rPr>
      <t>.*</t>
    </r>
  </si>
  <si>
    <t>Grants from Local (not Federal or State) Organizations
Municipal/City Funds</t>
  </si>
  <si>
    <t>Cash match
Local funds used to purchase liquid supplements
Revenue for meals provided to home and community based LTC programs (Family Care, IRIS, COP, etc.)</t>
  </si>
  <si>
    <t>Current Year Program Income YTD</t>
  </si>
  <si>
    <r>
      <t xml:space="preserve">Program income is defined as gross income received by the grantee and all sub grantees such as voluntary contributions or income earned only as a result of the grant project </t>
    </r>
    <r>
      <rPr>
        <b/>
        <sz val="10"/>
        <rFont val="Arial"/>
        <family val="2"/>
      </rPr>
      <t>during the current grant period.</t>
    </r>
    <r>
      <rPr>
        <sz val="10"/>
        <rFont val="Arial"/>
        <family val="2"/>
      </rPr>
      <t xml:space="preserve">   This funding must be allocated to the same service in which it was received.</t>
    </r>
  </si>
  <si>
    <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for meals provided to home and community based LTC programs (Family Care, IRIS, COP, etc.)
Revenue from sales of services or property (e.g. meals, liquid nutritional supplements, etc.)
Interest income
Usage or rental fees
Patent or copyright royalties</t>
  </si>
  <si>
    <t>Revenues raised by a government grantee/provider under its governing powers (e.g. taxes, special assessments, levies and fines) 
Cash match</t>
  </si>
  <si>
    <t>Current Year Program Income Expenditures YTD</t>
  </si>
  <si>
    <r>
      <rPr>
        <b/>
        <sz val="10"/>
        <rFont val="Arial"/>
        <family val="2"/>
      </rPr>
      <t xml:space="preserve">Include only the amount of program income expended during the current reporting period. Program income earned must be expended before any federal or state monies can be paid. </t>
    </r>
    <r>
      <rPr>
        <sz val="10"/>
        <rFont val="Arial"/>
        <family val="2"/>
      </rPr>
      <t xml:space="preserve"> 
Program income is defined as gross income received by the grantee and all sub grantees such as voluntary contributions or income earned only as a result of the grant project. This funding must be allocated to the same service in which it was received.</t>
    </r>
  </si>
  <si>
    <t>Prior Year Program Income Carryover</t>
  </si>
  <si>
    <r>
      <rPr>
        <b/>
        <sz val="10"/>
        <rFont val="Arial"/>
        <family val="2"/>
      </rPr>
      <t xml:space="preserve">Amount of unspent gross program income carried over from the previous year (if applicable). 
</t>
    </r>
    <r>
      <rPr>
        <sz val="10"/>
        <rFont val="Arial"/>
        <family val="2"/>
      </rPr>
      <t>Program income is defined as gross income received by the grantee and all sub grantees such as voluntary contributions or income earned only as a result of the grant project. This funding must be allocated to the same service in which it was received.</t>
    </r>
  </si>
  <si>
    <t>Prior Year Program Income Expenditures YTD</t>
  </si>
  <si>
    <r>
      <rPr>
        <b/>
        <sz val="10"/>
        <rFont val="Arial"/>
        <family val="2"/>
      </rPr>
      <t>Include only the amount of program income carried over from the prior year but expended during the current reporting period (if applicable). This amount must be spent before claiming any current year federal or state funds and within the first 60 calendar days of the program year.</t>
    </r>
    <r>
      <rPr>
        <sz val="10"/>
        <rFont val="Arial"/>
        <family val="2"/>
      </rPr>
      <t xml:space="preserve">
Program income is defined as gross income received by the grantee and all sub grantees such as voluntary contributions or income earned only as a result of the grant project. This funding must be allocated to the same service in which it was received.</t>
    </r>
  </si>
  <si>
    <t>YTD Total Expenditures</t>
  </si>
  <si>
    <t>Sum of all YTD Expenditure columns</t>
  </si>
  <si>
    <t>This will include Year to Date: Title III Expenses, Cash Match Expenses, In-Kind Expenses, Other Federal Expenses, Other State Expenses, Other Local Expenses, Prior Year Program Income Expenses and Current Year Program Income Expenses.</t>
  </si>
  <si>
    <t>Other Federal and State Contracts**</t>
  </si>
  <si>
    <t>NSIP Expenditures YTD</t>
  </si>
  <si>
    <r>
      <rPr>
        <u/>
        <sz val="10"/>
        <rFont val="Arial"/>
        <family val="2"/>
      </rPr>
      <t>Federal Title III funds</t>
    </r>
    <r>
      <rPr>
        <sz val="10"/>
        <rFont val="Arial"/>
        <family val="2"/>
      </rPr>
      <t xml:space="preserve"> allocated based on the actual number of eligible meals served in the prior federal fiscal year. Funds must be used to purchase domestically-produced foods for use in Title III-C nutrition program meals.  </t>
    </r>
    <r>
      <rPr>
        <b/>
        <sz val="10"/>
        <rFont val="Arial"/>
        <family val="2"/>
      </rPr>
      <t>Funds are expended to support OAA service provision.*</t>
    </r>
  </si>
  <si>
    <t>Title III NSIP - Nutrition Services Incentive Program</t>
  </si>
  <si>
    <t>Title III OAA funds
Title VI NSIP</t>
  </si>
  <si>
    <t>AFCSP Expenditures YTD</t>
  </si>
  <si>
    <r>
      <rPr>
        <u/>
        <sz val="10"/>
        <rFont val="Arial"/>
        <family val="2"/>
      </rPr>
      <t>State funds</t>
    </r>
    <r>
      <rPr>
        <sz val="10"/>
        <rFont val="Arial"/>
        <family val="2"/>
      </rPr>
      <t xml:space="preserve"> expended to support the Alzheimer's Family and Caregiver Support Program.  </t>
    </r>
    <r>
      <rPr>
        <b/>
        <sz val="10"/>
        <rFont val="Arial"/>
        <family val="2"/>
      </rPr>
      <t>If funds are used as match towards the NFCSP program, they need to be in the same service provided and entered in SAMS as an OAA NFCSP service.</t>
    </r>
  </si>
  <si>
    <t>State AFCSP (Alzheimer's Family and Caregiver Support Program)</t>
  </si>
  <si>
    <t xml:space="preserve">Title III OAA funds                                                      </t>
  </si>
  <si>
    <t>State SSCS Expenditures YTD</t>
  </si>
  <si>
    <r>
      <rPr>
        <u/>
        <sz val="10"/>
        <rFont val="Arial"/>
        <family val="2"/>
      </rPr>
      <t>State funds</t>
    </r>
    <r>
      <rPr>
        <sz val="10"/>
        <rFont val="Arial"/>
        <family val="2"/>
      </rPr>
      <t xml:space="preserve"> expended to support the SSCS (State Senior Community Services) program. </t>
    </r>
    <r>
      <rPr>
        <b/>
        <sz val="10"/>
        <rFont val="Arial"/>
        <family val="2"/>
      </rPr>
      <t xml:space="preserve"> Funds are expended to support OAA service provision.*</t>
    </r>
  </si>
  <si>
    <t>State SSCS (State Senior Community Services)</t>
  </si>
  <si>
    <t>State Elderly Benefit Services Expenditures YTD</t>
  </si>
  <si>
    <r>
      <rPr>
        <u/>
        <sz val="10"/>
        <rFont val="Arial"/>
        <family val="2"/>
      </rPr>
      <t>State funds</t>
    </r>
    <r>
      <rPr>
        <sz val="10"/>
        <rFont val="Arial"/>
        <family val="2"/>
      </rPr>
      <t xml:space="preserve"> expended to support the Elderly Benefit Services (EBS) program.  </t>
    </r>
    <r>
      <rPr>
        <b/>
        <sz val="10"/>
        <rFont val="Arial"/>
        <family val="2"/>
      </rPr>
      <t>Funds are expended to support OAA Legal/Benefit Assistance service provision.*</t>
    </r>
  </si>
  <si>
    <t>State Elderly Benefit Services (EBS)</t>
  </si>
  <si>
    <t>State Elder Abuse Services Expenditures YTD</t>
  </si>
  <si>
    <r>
      <rPr>
        <u/>
        <sz val="10"/>
        <rFont val="Arial"/>
        <family val="2"/>
      </rPr>
      <t>State funds</t>
    </r>
    <r>
      <rPr>
        <sz val="10"/>
        <rFont val="Arial"/>
        <family val="2"/>
      </rPr>
      <t xml:space="preserve"> expended to support the Elder Abuse program.</t>
    </r>
  </si>
  <si>
    <t>State Elder Abuse Services (EAS)</t>
  </si>
  <si>
    <t>SPAP Expenditures YTD</t>
  </si>
  <si>
    <r>
      <rPr>
        <u/>
        <sz val="10"/>
        <rFont val="Arial"/>
        <family val="2"/>
      </rPr>
      <t>State funds</t>
    </r>
    <r>
      <rPr>
        <sz val="10"/>
        <rFont val="Arial"/>
        <family val="2"/>
      </rPr>
      <t xml:space="preserve"> expended to support the State Pharmaceutical Assistance Program. </t>
    </r>
    <r>
      <rPr>
        <b/>
        <sz val="10"/>
        <rFont val="Arial"/>
        <family val="2"/>
      </rPr>
      <t>Funds are expended to support OAA Legal/Benefit Assistance service provision.*</t>
    </r>
  </si>
  <si>
    <t>SPAP (State Pharmaceutical Assistance Program)</t>
  </si>
  <si>
    <t>SHIP Expenditures YTD</t>
  </si>
  <si>
    <r>
      <rPr>
        <u/>
        <sz val="10"/>
        <rFont val="Arial"/>
        <family val="2"/>
      </rPr>
      <t>Federal funds</t>
    </r>
    <r>
      <rPr>
        <sz val="10"/>
        <rFont val="Arial"/>
        <family val="2"/>
      </rPr>
      <t xml:space="preserve"> expended to support the State Health Insurance Assistance Program. </t>
    </r>
    <r>
      <rPr>
        <b/>
        <sz val="10"/>
        <rFont val="Arial"/>
        <family val="2"/>
      </rPr>
      <t>Funds are expended to support OAA Legal/Benefit Assistance service provision.*</t>
    </r>
  </si>
  <si>
    <t>SHIP (State Health Insurance Assistance Program)</t>
  </si>
  <si>
    <t>MIPPA Expenditures YTD</t>
  </si>
  <si>
    <r>
      <rPr>
        <u/>
        <sz val="10"/>
        <rFont val="Arial"/>
        <family val="2"/>
      </rPr>
      <t>Federal funds</t>
    </r>
    <r>
      <rPr>
        <sz val="10"/>
        <rFont val="Arial"/>
        <family val="2"/>
      </rPr>
      <t xml:space="preserve"> expended to support the Medicare Improvements for Patients and Providers program.</t>
    </r>
    <r>
      <rPr>
        <b/>
        <sz val="10"/>
        <rFont val="Arial"/>
        <family val="2"/>
      </rPr>
      <t xml:space="preserve"> Funds are expended to support OAA Legal/Benefit Assistance service provision.*</t>
    </r>
  </si>
  <si>
    <t>MIPPA (Medicare Improvements for Patients and Providers Act)</t>
  </si>
  <si>
    <t xml:space="preserve">Main Service </t>
  </si>
  <si>
    <t>Service Name</t>
  </si>
  <si>
    <t>Subservice Name</t>
  </si>
  <si>
    <t>Unit Type</t>
  </si>
  <si>
    <t>M</t>
  </si>
  <si>
    <t>01-Administration</t>
  </si>
  <si>
    <t>N/A</t>
  </si>
  <si>
    <r>
      <t>General management functions of the agency that cannot be diretly allocated to a cost center or service, related to the management and administration of funds from the Bureau of Aging and Disabilty Resources.  </t>
    </r>
    <r>
      <rPr>
        <b/>
        <sz val="10"/>
        <rFont val="Arial"/>
        <family val="2"/>
      </rPr>
      <t>This is fiscally reported only to be reported on the monthly claim form as funding expended - there will be no services entered into SAMS.</t>
    </r>
  </si>
  <si>
    <t>02-Personal Care</t>
  </si>
  <si>
    <t>Hours</t>
  </si>
  <si>
    <t>Providing personal assistance, stand-by assistance, supervision or cues for people having difficulties with one or more activities of daily living (ADLs) such as: bathing, dressing, toileting, getting in/out of a bed or chair, eating or walking.  *For Title VI:  This service requires trained personnel and includes in-home services such as checking blood pressure and blood glucose.</t>
  </si>
  <si>
    <t>S</t>
  </si>
  <si>
    <t>Bathing (02)</t>
  </si>
  <si>
    <t>Providing assistance with getting in and out of the bath or shower, preparing the bath, and washing and drying.</t>
  </si>
  <si>
    <t>Foot Care / Podiatry (02)</t>
  </si>
  <si>
    <t>The basic care of the lower leg, foot, and nails.  Includes assistance with washing feet; trimming nails; buffing corns, calluses; and debriding thickened nails (Mercer, American Diabetes Association)</t>
  </si>
  <si>
    <t>03-Homemaker</t>
  </si>
  <si>
    <t>Providing assistance with routine household tasks to people having difficulties with one or more of the following instrumental activities of daily living (IADLs):  preparing meals, managing medications, managing money, doing light housework, shopping, traveling, and using a telephone.  Allowable tasks include: laundry, ironing, meal preparation, shopping for necessities (including groceries), light housekeeping tasks (e.g., dusting, vacuuming, mopping floors, cleaning bathroom and kitchen, making beds, maintaining safe environment).</t>
  </si>
  <si>
    <t>Money Management (03)</t>
  </si>
  <si>
    <t>Providing assistance with handling bill paying, banking, etc.</t>
  </si>
  <si>
    <t>Regular/Standard Cleaning (03)</t>
  </si>
  <si>
    <t>Providing assistance with dusting, vacuuming, mopping floors, cleaning bathrooms, cleaning kitchens, making beds, etc.</t>
  </si>
  <si>
    <t>Shopping Assistance (03)</t>
  </si>
  <si>
    <t>Providing assistance with shopping for necessities such as personal items, groceries, and/or other household items.</t>
  </si>
  <si>
    <t>04-Chore</t>
  </si>
  <si>
    <t>Providing assistance with non-continual household tasks to people having difficulties with one or more of the following instrumental activities of daily living (IADLs):  doing heavy housework and outside chores.  Allowable include: installing screens and storm windows, cleaning appliances, cleaning and securing carpets and rugs, washing walls and windows, scrubbing floors, cleaning attics and basements to remove fire and health hazards, pest control, grass cutting and leaf raking, clearing walkways of ice, snow and leaves, trimming overhanging tree branches, wood chopping, and moving heavy furniture.</t>
  </si>
  <si>
    <t>Heavy/Extensive Cleaning (04)</t>
  </si>
  <si>
    <t>Providing assistance with scrubbing floors, washing inside walls and windows, deep cleaning appliances, cleaning carpets and rugs, cleaning attics and basements to remove hazards, pest control, and other mass cleanup.</t>
  </si>
  <si>
    <t>Lawn Care (04)</t>
  </si>
  <si>
    <t>Providing assistance with grass cutting.</t>
  </si>
  <si>
    <t>Raking Leaves (04)</t>
  </si>
  <si>
    <t>Providing assistance with leaf raking and clearing walkways of leaves.</t>
  </si>
  <si>
    <t>Snow Removal (04)</t>
  </si>
  <si>
    <t>Providing assistance with shoveling snow and clearing walkways of ice and snow.Providing assistance with shoveling snow and clearing walkways of ice and snow.</t>
  </si>
  <si>
    <t>Storms and Screens (04)</t>
  </si>
  <si>
    <t>Providing assistance with installing screens and storm windows.</t>
  </si>
  <si>
    <t>Window Washing-Exterior (04)</t>
  </si>
  <si>
    <t>Providing assistance with washing outside windows.</t>
  </si>
  <si>
    <t>05-Home Delivered Meals</t>
  </si>
  <si>
    <t>Meals</t>
  </si>
  <si>
    <t>A meal provided to an eligible individual in his/her place of residence.  The meal meets the requirements of the Older Americans Act and state policy.</t>
  </si>
  <si>
    <t>Breakfast (05)</t>
  </si>
  <si>
    <t xml:space="preserve">A home-delivered meal that is either delivered in the morning or consists of foods traditionally served for breakfast, such as eggs or pancakes.  </t>
  </si>
  <si>
    <t>Cold Meal (05)</t>
  </si>
  <si>
    <t>A home-delivered meal consisting solely of either potentially hazardous (TCS) food items that must be kept at temperatures under 41 degrees Fahrenheit (e.g. tuna salad) or food items that do not require temperature control (e.g. whole apples or bread).</t>
  </si>
  <si>
    <r>
      <t xml:space="preserve">Emergency </t>
    </r>
    <r>
      <rPr>
        <sz val="10"/>
        <rFont val="Arial"/>
        <family val="2"/>
      </rPr>
      <t>Meal (05)</t>
    </r>
  </si>
  <si>
    <t>A home-delivered meal provided in preparation of or following an emergency situation.  Meals could be fresh, frozen, or shelf-stable.</t>
  </si>
  <si>
    <t>Evening Meal (05)</t>
  </si>
  <si>
    <t>A home-delivered meal that is intended for consumption later in the day, typically between 5 and 7 p.m.</t>
  </si>
  <si>
    <t>Frozen Meal (05)</t>
  </si>
  <si>
    <t>A home-delivered meal provided in a solid frozen state.</t>
  </si>
  <si>
    <t>Hot Meal (05)</t>
  </si>
  <si>
    <t>A home-delivered meal that includes potentially hazardous (TCS) food items that must be kept at temperatures above 140 degrees Fahrenheit (e.g. cooked fish).</t>
  </si>
  <si>
    <t>Weekend Meal (05)</t>
  </si>
  <si>
    <t>Provision of a home-delivered meal intended for consumption on a Saturday or Sunday.  Meals could be fresh, frozen, or shelf-stable.</t>
  </si>
  <si>
    <t>06-Adult Day Care/Health</t>
  </si>
  <si>
    <t xml:space="preserve">Provision of care for functionally impaired older adults in a non-residential, supervised, protective, and congregate setting during some portion of a day (fewer than 24 hours). Services offered in conjunction with adult day care/adult day health typically include social and recreational activities, training, counseling, and services such as rehabilitation, medication assistance and home‐health aide services for adult day health.  Older adults served require supervision but do not require institutionalization. </t>
  </si>
  <si>
    <t>Bathing (06)</t>
  </si>
  <si>
    <t>Providing assistance with getting in and out of the bath or shower, preparing the bath, and washing and drying in an adult day care setting.</t>
  </si>
  <si>
    <t>07-Case Management</t>
  </si>
  <si>
    <t>Person-centered approach to providing assistance with care coordination for older customers and/or their caregivers in circumstances where the older person is experiencing diminished functional capacities, personal conditions, or other characteristics which require the provision of services by formal service providers or informal caregivers.  Activities of case management include learning the customer’s strengths, assessing the customer’s needs, developing care plan that ensure the safety and well-being of the customer, authorizing and coordinating services among providers that support the customer’s needs, monitoring service provision and the customer’s health and welfare, and providing ongoing reassessment of needs.  A unit is defined as the time, which is spent by staff, or qualified designee, engaged in working for an eligible person. A unit does not include travel time, staff training, program publicity, or direct services other than care coordination.</t>
  </si>
  <si>
    <t>08-Congregate Meals</t>
  </si>
  <si>
    <t>A meal provided to an eligible individual in a group setting which promotes socialization of older individuals.  The meal meets the requirements of the Older Americans Act and state policy.</t>
  </si>
  <si>
    <t>Breakfast (08)</t>
  </si>
  <si>
    <t xml:space="preserve">A congregate meal that is either served in the morning or consists of foods traditionally served for breakfast, such as eggs or pancakes.  </t>
  </si>
  <si>
    <t>Cafe 60 (08)</t>
  </si>
  <si>
    <t>A congregate meal provided at a senior dining center that accepts vouchers.  Voucher programs require approval from the AAA and BADR prior to implementation.</t>
  </si>
  <si>
    <t>Cold Meal (08)</t>
  </si>
  <si>
    <t>A congregate meal consisting solely of either potentially hazardous (TCS) food items that must be kept at temperatures under 41 degrees Fahrenheit (e.g. tuna salad) or food items that do not require temperature control (e.g. whole apples or bread).</t>
  </si>
  <si>
    <r>
      <t xml:space="preserve">Emergency </t>
    </r>
    <r>
      <rPr>
        <sz val="10"/>
        <rFont val="Arial"/>
        <family val="2"/>
      </rPr>
      <t>Meal (08)</t>
    </r>
  </si>
  <si>
    <t>Emergency meals provided to a congregate meal participant in preparation of or following an emergency situation.  Meals could be fresh, frozen, or shelf-stable.</t>
  </si>
  <si>
    <t>Evening Meal (08)</t>
  </si>
  <si>
    <t>A congregate meal that is served later in the day, typically between 5 and 7 p.m.</t>
  </si>
  <si>
    <t>Evening Salad Bar (08)</t>
  </si>
  <si>
    <t>A buffet-style congregate meal in which an assortment of salad ingredients are provided for participants to assemble their own salad.  The meal is served later in the day, typically between 5 and 7 p.m.</t>
  </si>
  <si>
    <t>Hot Meal (08)</t>
  </si>
  <si>
    <t>A congregate meal that includes potentially hazardous (TCS) food items that must be kept at temperatures above 140 degrees Fahrenheit (e.g. cooked fish).</t>
  </si>
  <si>
    <t>Noon Salad Bar (08)</t>
  </si>
  <si>
    <t>A buffet-style congregate meal in which an assortment of salad ingredients are provided for participants to assemble their own salad.  The meal is served mid-day, typically around 12 p.m.</t>
  </si>
  <si>
    <t>Rise and Dine (08)</t>
  </si>
  <si>
    <t xml:space="preserve">A congregate meal that is either served in the morning or consists of foods traditionally served for breakfast, such as eggs or pancakes. Rise and Dine meals are served in a restaurant setting with no prior reservations required.  Participants order from a senior dining menu and receive table service. </t>
  </si>
  <si>
    <t>Salad Bar (08)</t>
  </si>
  <si>
    <t>A buffet-style congregate meal in which an assortment of salad ingredients are provided for participants to assemble their own salad.</t>
  </si>
  <si>
    <t>Special Events (08)</t>
  </si>
  <si>
    <t>A congregate meal that is served in conjunction with a one-time or infrequently occurring event outside of normal programs or activities.</t>
  </si>
  <si>
    <t>Volunteer Meal (08)</t>
  </si>
  <si>
    <t>A meal that is provided to a volunteer who provides direct service to the nutrition program.  (Reminder:  NSIP eligibility must be indicated in the client record in SAMS).</t>
  </si>
  <si>
    <t>Weekend Meal (08)</t>
  </si>
  <si>
    <t>A congregate meal provided in a dining center that operates on a Saturday or Sunday.</t>
  </si>
  <si>
    <t>09h-Nutrition Counseling (Hours)</t>
  </si>
  <si>
    <t>Provision of individualized advise and guidance to individuals who are at nutritional risk because of their health or nutritional history, dietary intake, medications used or chronic illness, about options and methods for improving their nutritional status, performed by a health professional. (Title VI only)</t>
  </si>
  <si>
    <t>Home Visit (09h)</t>
  </si>
  <si>
    <t>Nutrition counseling conducted in person. (Title VI only)</t>
  </si>
  <si>
    <t>Phone Call (09h)</t>
  </si>
  <si>
    <t>Nutrition counseling conducted by telephone. (Title VI only)</t>
  </si>
  <si>
    <t>09s-Nutrition Counseling (Sessions)</t>
  </si>
  <si>
    <t>Sessions</t>
  </si>
  <si>
    <t>Provision of individualized guidance to older individuals or their caregivers who are determined by a registered dietitian to be at nutritional risk, because of their health or nutritional history, dietary intake, medications used or chronic illness.  Counseling is provided on-on-one by a registered dietitian, in accordance with state policy, and addresses options and methods for improving nutritional status. A session is counted for each individual attending a nutrition counseling session.</t>
  </si>
  <si>
    <t>Home Visit (09)</t>
  </si>
  <si>
    <t>Nutrition counseling conducted in person.</t>
  </si>
  <si>
    <t>Phone Call (09)</t>
  </si>
  <si>
    <t>Nutrition counseling conducted by telephone.</t>
  </si>
  <si>
    <t>10p-Assisted Transportation</t>
  </si>
  <si>
    <t>One-Way Trip</t>
  </si>
  <si>
    <t xml:space="preserve">Provision of assistance, including escort, to a non-ambulatory person who has difficulties (physical or cognitive) using regular vehicular transportation. Includes rides on predetermined routes and rides provided upon customer request. </t>
  </si>
  <si>
    <t>Education/Training (10p)</t>
  </si>
  <si>
    <t>Provision of assisted transportation for the primary purpose of education or training. </t>
  </si>
  <si>
    <t>Employment (10p)</t>
  </si>
  <si>
    <t>Provision of assisted transportation for the primary purpose of performing work-related activities.  Work-related activities could be paid or volunteer.  Does not include transportation for training or education programs (see definition for Education/Training). </t>
  </si>
  <si>
    <t>Medical (10p)</t>
  </si>
  <si>
    <t>Provision of assisted transportation for the primary purposes of participation in medical or medically-prescribed activities or purchase of medical or medically-prescribed services or products.</t>
  </si>
  <si>
    <t>Nutrition (10p)</t>
  </si>
  <si>
    <t>Provision of assisted transportation for the primary purpose of consumption, purchase, or receipt of food. </t>
  </si>
  <si>
    <t>Other (10p)</t>
  </si>
  <si>
    <t>Provision of assisted transportation for a primary purpose other than education/training-related, work-related, medical, nutritional, shopping/personal business-related, or social/recreational. </t>
  </si>
  <si>
    <t>Shopping/Personal Business (10p)</t>
  </si>
  <si>
    <t xml:space="preserve">Provision of assisted transportation for the primary purpose of shopping for necessities or conducting other personal business. </t>
  </si>
  <si>
    <t>Social/Recreational (10p)</t>
  </si>
  <si>
    <t>Provision of assisted transportation for the primary purpose of participating in social or recreational activities. </t>
  </si>
  <si>
    <t>10v-Assisted Transportation (5310 Vehicle)</t>
  </si>
  <si>
    <t>(no main sub-service - a sub-service must be assigned)</t>
  </si>
  <si>
    <t>Vehicle-One-Way Trip</t>
  </si>
  <si>
    <t>Education/Training (10v)</t>
  </si>
  <si>
    <t>Employment (10v)</t>
  </si>
  <si>
    <t>Medical (10v)</t>
  </si>
  <si>
    <t>Nutrition (10v)</t>
  </si>
  <si>
    <t>Other (10v)</t>
  </si>
  <si>
    <t>Shopping/Personal Business (10v)</t>
  </si>
  <si>
    <t>Social/Recreational (10v)</t>
  </si>
  <si>
    <t>11p-Transportation</t>
  </si>
  <si>
    <t>Provision of transportation for an ambulatory person from one location to another.  Does not include any other activity.  Includes rides on predetermined routes and rides provided upon customer request.</t>
  </si>
  <si>
    <t>Education/Training (11p)</t>
  </si>
  <si>
    <t>Provision of transportation for the primary purpose of education or training. </t>
  </si>
  <si>
    <t>Employment (11p)</t>
  </si>
  <si>
    <t>Provision of transportation for the primary purpose of performing work-related activities.  Work-related activities could be paid or volunteer.  Does not include transportation for training or education programs (see definition for Education/Training). </t>
  </si>
  <si>
    <t>Medical (11p)</t>
  </si>
  <si>
    <t>Provision of transportation for the primary purposes of participation in medical or medically-prescribed activities or purchase of medical or medically-prescribed services or products.</t>
  </si>
  <si>
    <t>Nutrition (11p)</t>
  </si>
  <si>
    <t>Provision of transportation for the primary purpose of consumption, purchase, or receipt of food. </t>
  </si>
  <si>
    <t>Other (11p)</t>
  </si>
  <si>
    <t>Provision of transportation for a primary purpose other than education/training-related, work-related, medical, nutritional, shopping/personal business-related, or social/recreational. </t>
  </si>
  <si>
    <t>Shopping/Personal Business (11p)</t>
  </si>
  <si>
    <t xml:space="preserve">Provision of transportation for the primary purpose of shopping for necessities or conducting other personal business. </t>
  </si>
  <si>
    <t>Social/Recreation (11p)</t>
  </si>
  <si>
    <t>Provision of transportation for the primary purpose of participating in social or recreational activities. </t>
  </si>
  <si>
    <t>11v-Transportation (5310 Vehicle)</t>
  </si>
  <si>
    <t>Education/Training (11v)</t>
  </si>
  <si>
    <t>Employment (11v)</t>
  </si>
  <si>
    <t>Medical (11v)</t>
  </si>
  <si>
    <t>Nutrition (11v)</t>
  </si>
  <si>
    <t>Other (11v)</t>
  </si>
  <si>
    <t>Shopping/Personal Business (11v)</t>
  </si>
  <si>
    <t>Social/Recreation (11v)</t>
  </si>
  <si>
    <t>13h-Nutrition Education (Hours)</t>
  </si>
  <si>
    <t>An educational program provided by a knowledgeable person to promote better health and providing accurate and culturally sensitive nutrition or health (as it relates to nutrition) information and instruction in a group or individual setting. (Title VI only)</t>
  </si>
  <si>
    <t>13s-Nutrition Education (Sessions)</t>
  </si>
  <si>
    <t>A program to promote better health by providing accurate and culturally sensitive nutrition, physical fitness, or health (as it relates to nutrition) information and instruction to participants, caregivers, or participants and caregivers in a group or individual setting overseen by a program nutritionist. May include cooking demonstrations, educational taste-testing, audio-visual presentations, lecture, or small group discussions.  Printed materials may be used as the sole education component for home-delivered meal program participants, if necessary.</t>
  </si>
  <si>
    <t>14-Information and Assistance</t>
  </si>
  <si>
    <t>Contacts</t>
  </si>
  <si>
    <r>
      <t xml:space="preserve">Provision of concrete information to a client about available public and voluntary services and resources, including name, address, and telephone number of service or resource and linkage with apropriate community resource(s) to ensure necessary service will be delivered to the client.  Must include contact and follow-up with provider and/or client.  </t>
    </r>
    <r>
      <rPr>
        <b/>
        <sz val="10"/>
        <color theme="1"/>
        <rFont val="Arial"/>
        <family val="2"/>
      </rPr>
      <t>**This service is not mandatory to enter and is not used for NAPIS Federal Reporting.**</t>
    </r>
  </si>
  <si>
    <t>Assistance (14)</t>
  </si>
  <si>
    <r>
      <t xml:space="preserve">Provision of assistance in gaining access to availble services. </t>
    </r>
    <r>
      <rPr>
        <b/>
        <sz val="10"/>
        <color theme="1"/>
        <rFont val="Arial"/>
        <family val="2"/>
      </rPr>
      <t xml:space="preserve"> </t>
    </r>
    <r>
      <rPr>
        <sz val="10"/>
        <color theme="1"/>
        <rFont val="Arial"/>
        <family val="2"/>
      </rPr>
      <t xml:space="preserve">Must include contact and follow-up with provider and/or client. </t>
    </r>
    <r>
      <rPr>
        <b/>
        <sz val="10"/>
        <color theme="1"/>
        <rFont val="Arial"/>
        <family val="2"/>
      </rPr>
      <t xml:space="preserve"> **This service is not mandatory to enter and is not used for NAPIS Federal Reporting.**</t>
    </r>
  </si>
  <si>
    <t>Email (14)</t>
  </si>
  <si>
    <r>
      <t xml:space="preserve">Provision of concrete information and assistance through the means of email to a client.  Must include contact and follow-up with provider and/or client. </t>
    </r>
    <r>
      <rPr>
        <b/>
        <sz val="10"/>
        <color theme="1"/>
        <rFont val="Arial"/>
        <family val="2"/>
      </rPr>
      <t xml:space="preserve"> **This service is not mandatory to enter and is not used for NAPIS Federal Reporting.**</t>
    </r>
  </si>
  <si>
    <t>Emergency Preparedness (14)</t>
  </si>
  <si>
    <r>
      <t xml:space="preserve">Provision of concrete information and assistance of emergency prepardness to a client.  Must include contact and follow-up with provider and/or client. </t>
    </r>
    <r>
      <rPr>
        <b/>
        <sz val="10"/>
        <color theme="1"/>
        <rFont val="Arial"/>
        <family val="2"/>
      </rPr>
      <t xml:space="preserve"> **This service is not mandatory to enter and is not used for NAPIS Federal Reporting.**</t>
    </r>
  </si>
  <si>
    <t>Information (14)</t>
  </si>
  <si>
    <r>
      <t xml:space="preserve">Provision of information about available services.  Must include contact and follow-up with provider and/or client. </t>
    </r>
    <r>
      <rPr>
        <b/>
        <sz val="10"/>
        <color theme="1"/>
        <rFont val="Arial"/>
        <family val="2"/>
      </rPr>
      <t xml:space="preserve"> **This service is not mandatory to enter and is not used for NAPIS Federal Reporting.**</t>
    </r>
  </si>
  <si>
    <t>Phone Call (14)</t>
  </si>
  <si>
    <r>
      <t xml:space="preserve">Provision of concrete information and assistance via a phone call to a client.  Must include contact and follow-up with provider and/or client. </t>
    </r>
    <r>
      <rPr>
        <b/>
        <sz val="10"/>
        <color theme="1"/>
        <rFont val="Arial"/>
        <family val="2"/>
      </rPr>
      <t xml:space="preserve"> **This service is not mandatory to enter and is not used for NAPIS Federal Reporting.**</t>
    </r>
  </si>
  <si>
    <t>Walk-In (14)</t>
  </si>
  <si>
    <r>
      <t xml:space="preserve">Provision of concrete information and assistance via walk-in to a client.  Must include contact and follow-up with provider and/or client. </t>
    </r>
    <r>
      <rPr>
        <b/>
        <sz val="10"/>
        <color theme="1"/>
        <rFont val="Arial"/>
        <family val="2"/>
      </rPr>
      <t xml:space="preserve"> **This service is not mandatory to enter and is not used for NAPIS Federal Reporting.**</t>
    </r>
  </si>
  <si>
    <t>15s-Outreach (Sessions)</t>
  </si>
  <si>
    <t>One-on-one contacts with older adults or their caregivers initiated by an agency or organization to encourage their use of existing services and benefits.  Does not include a group activity that involves a contact with several current or potential customers/caregivers (see Public Information definition).  Does not include comprehensive assessment of need, development of a service plan, or arranging for service provision (see Case Management definition).</t>
  </si>
  <si>
    <t>16a-Public Information (Activities)</t>
  </si>
  <si>
    <t>Activities</t>
  </si>
  <si>
    <t>Contacts with a group of older adults, their caregivers, or the general public, to inform them of service availability or provide general program information. Examples include but are not limited to health fairs, publications, newsletters, brochures, caregiver conferences, publicity or mass media campaigns, and other similar informational activities in accordance with state policy.</t>
  </si>
  <si>
    <t>Conference (16a)</t>
  </si>
  <si>
    <t xml:space="preserve">Conferences or other public events for older adults, their caregivers, or the general public.  </t>
  </si>
  <si>
    <t>Emergency Preparedness (16a)</t>
  </si>
  <si>
    <t xml:space="preserve">Distribution of disaster preparedness information that will assist older adults or their caregivers in the event of an emergency.  </t>
  </si>
  <si>
    <t>Grandparent Newsletter (16a)</t>
  </si>
  <si>
    <t>Distribution of newspapers or newsletters containing accurate, timely, and relevant information predominately of interest to and affecting grandparents.</t>
  </si>
  <si>
    <t>Informational Mailing (16a)</t>
  </si>
  <si>
    <t>Distribution of accurate, timely, and relevant information via US mail or email.</t>
  </si>
  <si>
    <t>Informational Material (16a)</t>
  </si>
  <si>
    <t>Distribution of printed material or handouts that pertain to current research, public policy concerns, etc.</t>
  </si>
  <si>
    <t>Memory Cafe (16a)</t>
  </si>
  <si>
    <t>Social gatherings that provide opportunities for individuals with dementia, along with their family, friends and caregivers, to enjoy interactions with others experiencing the same challenges and to talk openly about issues. They are not intended as support groups.</t>
  </si>
  <si>
    <t>Newsletter (16a)</t>
  </si>
  <si>
    <t>Distribution of newsletters containing accurate, timely, and relevant information of interest to and affecting the wellbeing of older adults or their caregivers.</t>
  </si>
  <si>
    <t>Newspaper (16a)</t>
  </si>
  <si>
    <t>Distribution of newspapers containing accurate, timely, and relevant information of interest to and affecting the wellbeing of older adults or their caregivers.</t>
  </si>
  <si>
    <t>Public Exhibit (16a)</t>
  </si>
  <si>
    <t>Distribution of accurate, timely, and relevant information via booths, exhibits, or fairs.</t>
  </si>
  <si>
    <t>Public Presentation (16a)</t>
  </si>
  <si>
    <t>Distribution of accurate, timely, and relevant information via formal group audio visual presentations.</t>
  </si>
  <si>
    <t>Radio (16a)</t>
  </si>
  <si>
    <t>Distribution of accurate, timely, and relevant information via radio interviews or programs.</t>
  </si>
  <si>
    <t>Resource Directory (16a)</t>
  </si>
  <si>
    <t>Distribution of information about the network of resources available to individuals within their communities.</t>
  </si>
  <si>
    <t>Taped Presentation (16a)</t>
  </si>
  <si>
    <t>Distribution of accurate, timely, and relevant information via taped audio visual presentations on topics of interest to and affecting the wellbeing of older adults and their caregivers.  Taped presentations could be webinars or shared via other electronic media.</t>
  </si>
  <si>
    <t>Television (16a)</t>
  </si>
  <si>
    <t>Distribution of accurate, timely, and relevant information via television interviews or programs.</t>
  </si>
  <si>
    <t>16h-Public Information (Hours)</t>
  </si>
  <si>
    <t>Hours of Preparation</t>
  </si>
  <si>
    <t>Writing, reproducing, and mailing a program newsletter; writing a newspaper column; or providing a radio/television interview. (Title VI only)</t>
  </si>
  <si>
    <t>Conference (16h)</t>
  </si>
  <si>
    <t>Emergency Preparedness (16h)</t>
  </si>
  <si>
    <t>Grandparent Newsletter (16h)</t>
  </si>
  <si>
    <t>Informational Mailing (16h)</t>
  </si>
  <si>
    <t>Informational Material (16h)</t>
  </si>
  <si>
    <t>Memory Cafe (16h)</t>
  </si>
  <si>
    <t>Newsletter (16h)</t>
  </si>
  <si>
    <t>Newspaper (16h)</t>
  </si>
  <si>
    <t>Public Exhibit (16h)</t>
  </si>
  <si>
    <t>Public Presentation (16h)</t>
  </si>
  <si>
    <t>Radio (16h)</t>
  </si>
  <si>
    <t>Resource Directory (16h)</t>
  </si>
  <si>
    <t>Taped Presentation (16h)</t>
  </si>
  <si>
    <t>Television (16h)</t>
  </si>
  <si>
    <t>17c-Counseling</t>
  </si>
  <si>
    <t>Provision of professional advice, guidance, and instruction, either on a one-time or ongoing basis to an older individual and/or family members who are experiencing personal, social, or emotional problems.  May be provided by telephone or in person by paid, donated and/or volunteer staff who have been professionally trained.  Includes emotional support, problem identification and resolution, skill building, grief counseling, mental health counseling, etc. Does not include nutrition or legal counseling (See Nutrition Counseling and Legal Assistance definitions).  Does not include support group activities (peer led) or training (See definitions for Support Groups and Training).</t>
  </si>
  <si>
    <t>Individual Counseling (17c)</t>
  </si>
  <si>
    <t xml:space="preserve">Provision of one-on-one advice, guidance, and instruction, either on a one-time or ongoing basis to and older individual or a family member of an older individual who is experiencing personal, social, or emotional problems.  </t>
  </si>
  <si>
    <t>17t-Training</t>
  </si>
  <si>
    <t>Provision of formal or informal opportunities for individuals to acquire knowledge, experience or skills.  Includes individual or group events designed to increase awareness; promote personal enrichment, for example, through continuing education; to increase or gain skills in a specific craft, trade, job or occupation.  May include use of evidence-based programs, be conducted in-person or online, and be provided in individual or group settings. Does not include staff training. Does not include nutrition education, health promotion programs or activities, or information and assistance (see definitions for Nutrition Education, Health Promotion Programs, Health Promotion Activities, and Information and Assistance).</t>
  </si>
  <si>
    <t>Sip &amp; Swipe (17t)</t>
  </si>
  <si>
    <t>A digital literacy program designed to train older adults the basic skills needed to use a tablet.</t>
  </si>
  <si>
    <t>TRIAD (17t)</t>
  </si>
  <si>
    <t xml:space="preserve">Provision of the national TRIAD program, which provides older individuals with the knowledge they need to feel safer and more secure in their communities.  </t>
  </si>
  <si>
    <t>18-Temporary Respite Care (III-B)</t>
  </si>
  <si>
    <r>
      <t xml:space="preserve">A service which provides a brief period of relief or rest for caregivers.  May include in-home respite or facility-based respite (either during the day or overnight on a temporary basis). </t>
    </r>
    <r>
      <rPr>
        <b/>
        <sz val="10"/>
        <color theme="1"/>
        <rFont val="Arial"/>
        <family val="2"/>
      </rPr>
      <t>**Access to this service is available upon request by the Aging Unit.**</t>
    </r>
  </si>
  <si>
    <t>Grandparent Respite (18)</t>
  </si>
  <si>
    <t>Respite care for grandparents and other relative caregivers caring for children.  Includes camps, summer camps, child care/day care, after school care/activities, etc.</t>
  </si>
  <si>
    <t>19s-Medication Management (Sessions)</t>
  </si>
  <si>
    <t>Assistance to customers in managing the use of both prescription and over the counter (OTC) medication in order to prevent incorrect usage and adverse drug reactions.  May include face-to-face review of the customer’s medication regimen, set-up of a medication regimen, supervision of compliance with medication regimens, cueing via home visits or telephone calls, and/or communicating with referral sources (physicians, family members, primary caregivers, etc.). Primary activities are normally on a one-to-one basis; if done as a group activity, each participant shall be counted as participating in one session.</t>
  </si>
  <si>
    <t>Prescription Assistance (19s)</t>
  </si>
  <si>
    <t>Assistance to customers in managing prescription medications to prevent incorrect usage and adverse drug reactions.</t>
  </si>
  <si>
    <t>20-Advocacy Leadership Development</t>
  </si>
  <si>
    <t>Contacts made to monitor, evaluate, and comment on all laws, policies, programs, taxes, and service systems which affect older individuals.   Includes participation in hearings, contacts with national, state and/or local representatives, etc. to promote benefits and opportunities for older individuals.  Includes contacts that enhance the ability of older people to advocate for themselves and for other older people. Does not include services provided by an attorney or person under the supervision of an attorney.</t>
  </si>
  <si>
    <t>Commission on Aging (20)</t>
  </si>
  <si>
    <t>Contacts made by members of the Commission on Aging that enhance the ability of older people to advocate for themselves and for other older people.</t>
  </si>
  <si>
    <t>Nutrition Advisory Council (20)</t>
  </si>
  <si>
    <t>Contacts made by members of the Nutrition Advisory Council that enhance the ability of older people to advocate for themselves and for other older people.</t>
  </si>
  <si>
    <t>21s-Insurance / Benefits (Sessions)</t>
  </si>
  <si>
    <t>Provision of assistance in writing letters and completing financial forms, including tax forms, and other applications or documents. Does not include services provided by an attorney or person under the supervision of an attorney (see Legal Assistance definition).</t>
  </si>
  <si>
    <t>Homestead Tax Credit (21s)</t>
  </si>
  <si>
    <t>Provision of assistance in completing the Homestead Tax Credit Claim.  Does not include assistance provided by an Elder Benefit Specialist (EBS).</t>
  </si>
  <si>
    <t>Medicare Part D (21s)</t>
  </si>
  <si>
    <t>Provision of assistance in enrolling in Medicare Part D prescription drug assistance program. Does not include assistance provided by an Elder Benefit Specialist (EBS).</t>
  </si>
  <si>
    <t>SeniorCare (21s)</t>
  </si>
  <si>
    <t>Provision of assistance in enrolling in SeniorCare prescription drug assistance program. Does not include assistance provided by an Elder Benefit Specialist (EBS).</t>
  </si>
  <si>
    <t>Telephone (21s)</t>
  </si>
  <si>
    <r>
      <t xml:space="preserve">Provision of assistance in </t>
    </r>
    <r>
      <rPr>
        <u/>
        <sz val="10"/>
        <rFont val="Arial"/>
        <family val="2"/>
      </rPr>
      <t>applying for</t>
    </r>
    <r>
      <rPr>
        <sz val="10"/>
        <rFont val="Arial"/>
        <family val="2"/>
      </rPr>
      <t xml:space="preserve"> discounts, credits, or other financial assistance for telephone bills.</t>
    </r>
  </si>
  <si>
    <t>Wisconsin Home Energy Assistance (21s)</t>
  </si>
  <si>
    <t>Provision of assistance in applying for the Wisconsin Home Energy Assistance Program for assistance for heating costs, electric costs, and energy crisis situations.</t>
  </si>
  <si>
    <t>22c-Assessments (Contacts)</t>
  </si>
  <si>
    <r>
      <t xml:space="preserve">Collecting necessary information about an older individual to determine need and/or eligibility for a service.  May include evaluation of a person’s physical, psychological, and social needs; financial resources; informal support system; immediate environment, etc. </t>
    </r>
    <r>
      <rPr>
        <b/>
        <sz val="10"/>
        <color theme="1"/>
        <rFont val="Arial"/>
        <family val="2"/>
      </rPr>
      <t xml:space="preserve"> **This service is not mandatory to enter and is not used for NAPIS Federal Reporting.**</t>
    </r>
  </si>
  <si>
    <t>23a-Health Promotion (Program)</t>
  </si>
  <si>
    <t>(no main sub-service - a program must be assigned)</t>
  </si>
  <si>
    <t>Programs that meet ACL/AoA’s definition for an evidence-based program.  Evidence-based programs promote health and wellbeing; reduce disease, disability, and/or injury; and/or extend the length or quality of life for adults 60 years old or older.</t>
  </si>
  <si>
    <t>A Matter of Balance (23a)</t>
  </si>
  <si>
    <t>Warm-water exercise program suitable for every fitness levels, shown to reduce pain and improve overall health. Exercises include range of motion, muscle-strengthening, socialization activities and an optional, moderate-intensity aerobic component.</t>
  </si>
  <si>
    <t>Arthritis Foundation Aquatics Exercise Program (23a)</t>
  </si>
  <si>
    <t>Arthritis Foundation Exercise Program (23a)</t>
  </si>
  <si>
    <r>
      <rPr>
        <sz val="10"/>
        <color rgb="FF000000"/>
        <rFont val="Arial"/>
        <family val="2"/>
      </rPr>
      <t>Low-impact recreational exercise program designed for people with arthritis, rheumatic diseases or musculoskelatal conditions that improves functional ability, self-confidence, self-care, mobility, muscle strength and coordination.</t>
    </r>
    <r>
      <rPr>
        <sz val="10"/>
        <color theme="1"/>
        <rFont val="Arial"/>
        <family val="2"/>
      </rPr>
      <t xml:space="preserve"> </t>
    </r>
  </si>
  <si>
    <t xml:space="preserve">Arthritis Foundation Tai Chi Program (23a) </t>
  </si>
  <si>
    <r>
      <t xml:space="preserve">Tai chi program that improves movement, balance, strength, flexibility, and relaxation and decreases pain and falls.   </t>
    </r>
    <r>
      <rPr>
        <sz val="10"/>
        <color theme="1"/>
        <rFont val="Arial"/>
        <family val="2"/>
      </rPr>
      <t xml:space="preserve">   </t>
    </r>
  </si>
  <si>
    <t xml:space="preserve">Arthritis Self-Management (Self-Help) (23a) </t>
  </si>
  <si>
    <r>
      <t xml:space="preserve">A program for people with different types of rheumatic diseases (such as osteoarthritis, rheumatoid arthritis, fibromyalgia, lupus, etc.) that enables participants to build self-confidence to take part in maintaining their health and managing their diseases. </t>
    </r>
    <r>
      <rPr>
        <sz val="10"/>
        <color rgb="FF000000"/>
        <rFont val="Arial"/>
        <family val="2"/>
      </rPr>
      <t xml:space="preserve"> </t>
    </r>
  </si>
  <si>
    <t>Better Choices, Better Health-Arthritis (23a)</t>
  </si>
  <si>
    <t xml:space="preserve">An online interactive version of the Arthritis Self-Management Program (ASMP) that teaches the skills needed in the self-management of arthritis or other rheumatic diseases.  </t>
  </si>
  <si>
    <t xml:space="preserve">Better Choices, Better Health-CDSMP (23a) </t>
  </si>
  <si>
    <t>An online interactive version of the Chronic Disease Self-Management Program (CDSMP) that enables participants to build self-confidence to take part in maintaining their health and managing their chronic health conditions, such as hypertension, arthritis, heart disease, stroke, lung disease, and diabetes.</t>
  </si>
  <si>
    <t xml:space="preserve">Better Choices, Better Health-Diabetes (23a) </t>
  </si>
  <si>
    <t>An online interactive version of the Diabetes Self-Management Program (DSMP) that teaches the skills needed in the self-management of diabetes and to maintain and/or increase life’s activities.</t>
  </si>
  <si>
    <t xml:space="preserve">Care Transitions Intervention  (23a) </t>
  </si>
  <si>
    <t>A program that promotes self-identified personal goals around symptom management and functional recovery in the care transition from hospital to home to reduce hospital readmissions.</t>
  </si>
  <si>
    <t xml:space="preserve">CDSMP - Chronic Disease Self- Management Program (23a) </t>
  </si>
  <si>
    <t>A program designed to empower workshop participants with chronic conditions and/or their caregivers to problem solve and set weekly goals to improve skills needed to manage symptoms, such as managing medications, establishing/enhancing exercise programs, implementing healthier nutrition habits, managing pain and fatigue, working with healthcare professionals and the healthcare system, learning better communication techaniques, etc.</t>
  </si>
  <si>
    <t>Chronic Pain Self-Management Program (23a)</t>
  </si>
  <si>
    <t>A program that helps participants develop self-management skills, improve self-confidence and increase motivation to better their Chronic Pain symptoms, challenges and day to day tasks. This workshop is for adults living with chronic pain (such as musculoskeletal pain, fibromyalgia, repetitive strain injury, chronic regional pain syndrome, post stroke, or neuropathy) and for those who support them.</t>
  </si>
  <si>
    <t xml:space="preserve">Fit and Strong! (23a) </t>
  </si>
  <si>
    <t>A safe, balanced program of physical activity that builds lower extremity strength for managing lower-extremity osteoarthritis.</t>
  </si>
  <si>
    <t xml:space="preserve">Healthy Eating for Active Living (23a) </t>
  </si>
  <si>
    <t>A community based workshop that meets once a week for 2.5 hours for 6 or 7 weeks. The goal of this workshop is to help us maintain or improve our health by eating a variety of nutritious foods and maintaining a healthy weight.</t>
  </si>
  <si>
    <t>Healthy Living with Diabetes (23a)</t>
  </si>
  <si>
    <t>A program that teaches the skills needed in the self-management of diabetes and in maintaining and/or increasing life’s activities.</t>
  </si>
  <si>
    <t>Home Meds (23a)</t>
  </si>
  <si>
    <t>A program that enables community agencies to address medication-related problems and errors that endanger the lives and well-being of community-dwelling elders  Involves individualized in-home screening, assessment and alert process to identify medication problems and a computerized screening and pharmacist review of medications to help prevent falls, dizziness, confusion, and other medication-related problems for elders living at home.</t>
  </si>
  <si>
    <t>National Diabetes Prevention Program (23a)</t>
  </si>
  <si>
    <t>A program intended to prevent or delay the onset of Type 2 diabetes in adults at high risk for developing the disease.</t>
  </si>
  <si>
    <t xml:space="preserve">No Falls (23a) </t>
  </si>
  <si>
    <t>Program lead by a trained fitness instructor that focuses on balance, and is designed for people who may have some balance problems.</t>
  </si>
  <si>
    <t xml:space="preserve">NYUCI - New York University Caregiver Intervention (23a) </t>
  </si>
  <si>
    <t>A program for family caregivers of people with Alzheimer's disease or dementia that provides psychosocial counseling and support to improve the caregiver's well-being.</t>
  </si>
  <si>
    <t xml:space="preserve">PEARLS - Active, Rewarding Lives for Seniors (23a) </t>
  </si>
  <si>
    <t>A program for older adults with minor depression or dysthmic disorder that empowers its participants through problem-solving treatment, social and physical activation and pleasant activities to reduce depression and increase emotional well-being.</t>
  </si>
  <si>
    <t xml:space="preserve">Powerful Tools for Caregivers (23a) </t>
  </si>
  <si>
    <t>A program designed to provide family caregivers with tools necessary to increase their self-care and confidence.  The program improves self-care behaviors, management of emotions, self-efficacy, and use of community resources.</t>
  </si>
  <si>
    <t xml:space="preserve">Programa de Manejo Personal de la Arthritis  (23a) </t>
  </si>
  <si>
    <t xml:space="preserve">A culturally appropriate diabetes self-management program for Spanish speakers. </t>
  </si>
  <si>
    <t xml:space="preserve">REACH II - Enhancing Alzheimer’s Caregiver Health (23a) </t>
  </si>
  <si>
    <t>A multi-component psychosocial behavioral intervention for caregivers of people with Alzheimer's disease or related disorders that aims to reduce caregiver burden and   depression, improve caregivers' ability to provide self-care, provide caregivers with social support, and help caregivers learn how to manage difficult behaviors in care recipients.</t>
  </si>
  <si>
    <t xml:space="preserve">SAIL - Stay Active and Independent for Life (23a) </t>
  </si>
  <si>
    <t>A physical activity program for older adults that reduces fall risk factors by increasing strength and improving balance.  Includes warm-up, aerobics, balance activities, strengthening and stretching exercises that can be done seated or standing, along with educational components.</t>
  </si>
  <si>
    <t xml:space="preserve">Savvy Caregiver (23a) </t>
  </si>
  <si>
    <t>A program designed specifically for family caregivers of persons with Alzheimer's disease or other forms of dementia that reduces caregiver burden and caregiver stress.</t>
  </si>
  <si>
    <t xml:space="preserve">SBIRT - Scrng, Breief Intrvntn Rfrl to Trtmnt (23a) </t>
  </si>
  <si>
    <t>A program for older adults who engage in at-risk or problem drinking behaviors aimed at reducing alcohol-related problems.  Includes screening, assessment, motivational interviewing, and interventions.</t>
  </si>
  <si>
    <t>Stepping On (23a)</t>
  </si>
  <si>
    <t>A program intended for community-residing, cognitively intact, older adults who are at risk of falling, have a fear of falling or have fallen one or more times per year.  The program offers strategies and exercises to reduce falls, increase self-confidence in making decisions, and change behavior in situations where older adults are at risk of falling. A home visit or follow-up by phone call as well as a 2-hr booster session after 3 months</t>
  </si>
  <si>
    <t>Strong Women-Healthy Hearts Exercise Program (23a)</t>
  </si>
  <si>
    <t>Evidence-based program that has been proven to:     Increase muscle mass and strength  Increase bone density and reduce the risk for osteoporosis and related fractures  Reduce the risk for diabetes, heart disease, arthritis, depression, and obesity  Increase self-confidence, sleep, and vitality  Target Audience  12 weeks; 1 hr sessions; 2 times per week</t>
  </si>
  <si>
    <t>Strong Women-Strength Training Exercise Program (23a)</t>
  </si>
  <si>
    <t>A workshop that increases muscle mass and strength, improves bone density, improves self-confidence, improves sleep, and reduces risk for osteoporosis and related fractures, diabetes, heart disease, arthritis, depression, and obesity.</t>
  </si>
  <si>
    <t>Tai Chi Fundamentals with CDC Guidelines (23a)</t>
  </si>
  <si>
    <t>A gentle mind/body exercise and relaxation program designed especially for people with arthritis, joint pain, or any kind of stiffness that limits movement.</t>
  </si>
  <si>
    <t>Tai Chi Moving for Better Balance (23a)</t>
  </si>
  <si>
    <t>A Tai Chi program for older adults that improves balance, strength and physical performanceto reduce fall frequency.  The focus is on weight shifting, postural alignment, coordinated movements and synchronized breathing.</t>
  </si>
  <si>
    <t>Tomando Control de su Salud (23a)</t>
  </si>
  <si>
    <t>A culturally appropriate chronic disease self-management program for Spanish speakers with different chronic health problems.</t>
  </si>
  <si>
    <t>Vivir Saludable con Diabetes (23a)</t>
  </si>
  <si>
    <t>A culturally appropriate diabetes self-management program for Spanish speakers with Type 2 diabetes.</t>
  </si>
  <si>
    <t>Walk with Ease (23a)</t>
  </si>
  <si>
    <t>A program for community-dwelling older adults with arthritis and other chronic conditions (such as diabetes, heart disease and hypertension) intended to reduce pain and discomfort, increase balance and strength, build confidence in the ability to be physically active, and improve overall health.</t>
  </si>
  <si>
    <t>23b-Health Promotion (Activity)</t>
  </si>
  <si>
    <t>Health promotion and disease prevention activities that do not meet ACL/AoA’s definition for an evidence-based program.  May include health screenings and assessments; organized physical fitness activities; information, education, and prevention strategies for chronic disease and other health conditions, etc.  Activities are provided on a one-to-one basis or in groups but recorded at the individual level.</t>
  </si>
  <si>
    <t>Adaptive Devices Education (23b)</t>
  </si>
  <si>
    <t xml:space="preserve">An program coordinated with Independent Living Centers and the WIS Tech program that delivers appropriate adaptive devices and provides education. </t>
  </si>
  <si>
    <t>Aging Mastery Program (23)</t>
  </si>
  <si>
    <t>A program that combines evidence-informed knowledge sharing with goal-setting and feedback routines, daily practices, peer support, and small rewards intended to provide participants with an overview of the challenges encountered while navigating life in older age and to offer support to master new skills. Classes are led by expert speakers who help participants gain the skills and tools they need to manage their health, remain economically secure, and contribute actively in society.</t>
  </si>
  <si>
    <t>Beneficial Bites (23b)</t>
  </si>
  <si>
    <t>A comprehensive nutrition education program that features functional foods and superfoods that provide health benefits and prevent or improve health problems.</t>
  </si>
  <si>
    <t>Blood Pressure Check (23b)</t>
  </si>
  <si>
    <t>A health screening activity to detect or prevent high blood pressure.  This activity is not part of any assessment or registration conducted to determine either a customer’s need or eligibility for a service (see Assessments definition).</t>
  </si>
  <si>
    <t>Boost Your Brain and Memory (23b)</t>
  </si>
  <si>
    <t>A program that helps senior living residents understand evidence-based practices that can help them reduce their risk of dementia and utilize practical memory strategies.  This has been determined not to be a high level evidence-based program.</t>
  </si>
  <si>
    <t>Care Talks (23b)</t>
  </si>
  <si>
    <t>An intervention to improve initiated caregiver-provider communication.</t>
  </si>
  <si>
    <t>Dental Health Screen (23b)</t>
  </si>
  <si>
    <t>Screening events to conduct environmental scans of oral health of population.</t>
  </si>
  <si>
    <t>Driver's Safety Education (23b)</t>
  </si>
  <si>
    <t>Education program to help older adults drive safely longer.</t>
  </si>
  <si>
    <t>Eat Better / Move More (23b)</t>
  </si>
  <si>
    <t>A program designed to meet the interests and needs of older adults who want to maintain their quality of life and independence and live longer and better lives. Focuses on eating habits, physical activity, self-reported health and appetite status, and intention to make changes in current eating patterns.</t>
  </si>
  <si>
    <t>Exercise / Fitness (23b)</t>
  </si>
  <si>
    <t>Physical activities that sustain and/or improve health and promote strength, flexibility, balance, mobility, and/or coordination/agility.  Includes specialized exercises/workouts for persons with disabilities or mobility limitations.  May include aerobic exercise to increase endurance, dance, strength training, etc.</t>
  </si>
  <si>
    <t>Falls Prevention (23b)</t>
  </si>
  <si>
    <t>Provision of non-evidenced-based educational programs or activities on injury prevention (including fall and fracture prevention).</t>
  </si>
  <si>
    <t>Flu Shots (23b)</t>
  </si>
  <si>
    <t>Administration of the influenza vaccine to an older adult.</t>
  </si>
  <si>
    <t>Gentle Fitness (23b)</t>
  </si>
  <si>
    <t xml:space="preserve">Chair exercise/chair yoga DVD for older adults.  Intended for people living with strength, stamina or circulation issues, musculoskeletal pain, multiple sclerosis, Parkinson's disease, myofascial pain, diabetes, cancer recovery, or participating in cardio and physical rehab. </t>
  </si>
  <si>
    <t>Glucose Check (23b)</t>
  </si>
  <si>
    <t>A health screening activity to detect or prevent high blood glucose or diabetes.  This activity is not part of any assessment or registration conducted to determine either a customer’s need or eligibility for a service (see Assessments definition).</t>
  </si>
  <si>
    <t>Health Discussions with Target Populations (23b)</t>
  </si>
  <si>
    <t>Discussion groups that encourage participation in evidence-based health promotion programs and target minority or LEP populations or communities.   National CLAS standards are used for discussion of health promotion principles and best practices. May be structured as informal discussions, presentations, and/or support groups.</t>
  </si>
  <si>
    <t>Health Screen (23b)</t>
  </si>
  <si>
    <t>Administration of standard examinations, procedures, or tests to gather information about an older individual’s health status, identify and/or monitor actual and potential health problems or illnesses.  May include screens related to hearing, vision (glaucoma), cholesterol, cancer, depression, etc.  These activities are NOT part of any assessment or registration conducted to determine either a customer’s need or eligibility for a service (see Assessments definition).</t>
  </si>
  <si>
    <t>Healthy Eating for Successful Living (23b)</t>
  </si>
  <si>
    <t>A program for community-dwelling older adults intended to increase self-efficacy and general well-being by improving participants' knowledge of nutritional choices that focus on heart and bone healthy foods as well as supportive physical activities.</t>
  </si>
  <si>
    <t>Lighten Up  (23b)</t>
  </si>
  <si>
    <t>A group-based wellness program for older adults, using positive journaling to increase well-being (decrease depression and improve mental health).</t>
  </si>
  <si>
    <t>Medication Management with Pharmacist - Individual (23b)</t>
  </si>
  <si>
    <t>Screening and educational programs to manage medications and prevent incorrect medication usage and adverse drug reactions.  Includes medication dispensers purchased for temporary use as part of a screening and education program.</t>
  </si>
  <si>
    <t>MedWise (23b)</t>
  </si>
  <si>
    <t>A community-based self-efficacy program to improve older adults’ ability to communicate with pharmacists (medication management).</t>
  </si>
  <si>
    <t>Memory Loss Seminar (23b)</t>
  </si>
  <si>
    <t>Seminars focused on diagnosis, prevention, treatment, and rehabilitation of Alzheimer's disease and related disorders with neurological and organic brain dysfunction.</t>
  </si>
  <si>
    <t>Memory Screenings (23b)</t>
  </si>
  <si>
    <t>Administration of a memory screen (such as Mini-Cognistat, Animal Fluency or AD8), funded with Older American's Act dollars.  May include provision of an appropriate referral and/or education to the customer and/or the customer’s family.</t>
  </si>
  <si>
    <t>Mind over Matter: Healthy Bowels Healthy Bladder (23b)</t>
  </si>
  <si>
    <t>A three stage program on community-based continence promotion.</t>
  </si>
  <si>
    <t>PALS - Physical Activity for Life for Seniors (23b)</t>
  </si>
  <si>
    <t>A behavior change intervention to increase exercise for community-dwelling older adults living in rural communities, using health educators and fitness experts.  Includes adaptations to the African American and Latino communities.</t>
  </si>
  <si>
    <t>Pisando Fuerte (23b)</t>
  </si>
  <si>
    <t>A translation of the Stepping On falls prevention program for the Latino community.</t>
  </si>
  <si>
    <t>Senior Fit (23b)</t>
  </si>
  <si>
    <t>Fitness class that offers an easy-to-follow workout DVD that increases energy and stamina. Includeds use of lightweight dumbbells help to improve muscle strength and bone density.</t>
  </si>
  <si>
    <t>Stand Up, Move More (23b)</t>
  </si>
  <si>
    <t>A community based workshop that meets once a week for 1.5 hours for 4 weeks plus a booster session.  The goal of this intervention is to assist participants in developing new habits of reducing sitting time in their daily lives.  Currently being researched through CAARN.</t>
  </si>
  <si>
    <t>Stress Management Education (23b)</t>
  </si>
  <si>
    <t>Includes any type of educational materials or presentations discussing strategies to manage stress (i.e., massage, breathing, meditation, etc.)</t>
  </si>
  <si>
    <t>Sure Step (23b)</t>
  </si>
  <si>
    <t>A falls prevention program for older adults who have a cognitive impairment such as Alzheimer's disease or another dementia.  It provides an in-home intervention based on individual risk factors such as balance, strength, vision, and medications.</t>
  </si>
  <si>
    <t>Tai Chi (other-non EB) (23b)</t>
  </si>
  <si>
    <t xml:space="preserve">Tai Chi activities that do not include a component that achieved the CDC recommendation of 50 contact hours. </t>
  </si>
  <si>
    <t>Wii Activities Exercise Program (23b)</t>
  </si>
  <si>
    <t>Activities that involve the use of the Wii system that focus on low-impact physical exercise, balance, range of motion and coordination.  Activities could include:  Wii Sports, Wii Fit/Plus, Zumba, Walk-it-Out and others.</t>
  </si>
  <si>
    <t>Yoga (23b)</t>
  </si>
  <si>
    <t>Activity that involves holding stretches as a kind of low-impact physical exercise, and is often used for therapeutic purposes. Often occurs in a class and may involve meditation, imagery, breath work and music.</t>
  </si>
  <si>
    <t>Yoga for Seniors (23b)</t>
  </si>
  <si>
    <t>Version of the Gentle Yoga program (https://www.doyogawithme.com/content/yoga-seniors)</t>
  </si>
  <si>
    <t>Zumba Gold (23b)</t>
  </si>
  <si>
    <t>A class for active older adults that introduces easy-to-follow Zumba® choreography that focuses on balance, range of motion and coordination. Class focuses on all elements of fitness at a lower intensity: cardiovascular, muscular conditioning, flexibility and balance.</t>
  </si>
  <si>
    <t>24-Assistive Devices/Technology</t>
  </si>
  <si>
    <t>Occurrences</t>
  </si>
  <si>
    <t>Provision and/or installation of supportive equipment in the home environment of an older individual to prevent or minimize the occurrence of injuries and maintain the health and safety of the older individual.  Does not include any structural or restorative home repair or modifications, chore or homemaker activities (See definitions for Home Repair and Modifications, Chore, and Homemaker).</t>
  </si>
  <si>
    <t>Falls Prevention Devices (24)</t>
  </si>
  <si>
    <t>Equipment for preventing falls in the home environment.  Includes non-slip treatments, bathtub transfer benches, toilet risers, commodes, etc.</t>
  </si>
  <si>
    <r>
      <t>Hearing and</t>
    </r>
    <r>
      <rPr>
        <sz val="10"/>
        <rFont val="Arial"/>
        <family val="2"/>
      </rPr>
      <t xml:space="preserve"> Visual Aids (24)</t>
    </r>
  </si>
  <si>
    <t>Provision of adaptive equipment to older persons with hearing and/or visual impairments.  Includes hearing aids, glasses, etc.</t>
  </si>
  <si>
    <t>Loan Closet (24)</t>
  </si>
  <si>
    <t>Provision of assistive devices/technology through a loaning program. </t>
  </si>
  <si>
    <t>Medical Supplies (24)</t>
  </si>
  <si>
    <t>Provision of supplies to support proper medication usage. Includes electronic pill dispensers, etc.</t>
  </si>
  <si>
    <t>29-Nutritional Supplement without Meal</t>
  </si>
  <si>
    <t>(no main sub-service - a subservice must be used)</t>
  </si>
  <si>
    <t>Delivery of nutritional supplements to a customer.  Nutritional supplements are foods or beverages that have been formulated to provide a concentrated form of nutrients and are tailored to meet the needs of a person with special nutritional needs.  May  include tube feeding formulas, Ensure/Boost, etc.  (NOAA only)</t>
  </si>
  <si>
    <t>Delivered (29)</t>
  </si>
  <si>
    <t>Picked Up (29)</t>
  </si>
  <si>
    <t>Nutritional supplements provided to and picked up by a customer.  Nutritional supplements are foods or beverages that have been formulated to provide a concentrated form of nutrients and are tailored to meet the needs of a person with special nutritional needs.  May  include tube feeding formulas, Ensure/Boost, etc.  (NOAA only)</t>
  </si>
  <si>
    <t>33-Consumable Supplies</t>
  </si>
  <si>
    <t>A consumable good.  Includes incontinence supplies.</t>
  </si>
  <si>
    <t>Incontinence Supplies (33)</t>
  </si>
  <si>
    <t>Diapers, underpads, wipes, liners, and disposable gloves provided to older adults who are incontinent of bowel and/or bladder.</t>
  </si>
  <si>
    <t>38-Home Repair and Modifications</t>
  </si>
  <si>
    <t>Structural or restorative repair or modifications to an older individual’s home environment in order to prevent or minimize the occurrence of injuries and are essential for the health and safety of the older individual.  Includes minor repairs or renovations in order to meet safety, health, and code standards.  Does not include chore or homemaker activities that must be repeated, aesthetic improvements to a home, or temporary repairs.  Includes installation or maintenance of ramps for improved and/or barrier-free access, locks, improved lighting, hand held showers, grab bars, and tub rails. Also includes repair of floors, roof repair, doors and windows, interior walls, plumbing and drains that ensure a safe and adequate water supply, stairs and porches, heating systems, and electrical wiring. Services provided for an individual may not exceed $5000 per program year.</t>
  </si>
  <si>
    <t>40-Home Security and Safety</t>
  </si>
  <si>
    <t>Installation of technology designed to provide in-home or off-site monitoring with the intention of managing the health and safety of at-risk older adults.  Includes installation of smoke detectors, gas alarms, remote video monitoring, door sensors, telemedicine, health monitors, sensor mats, fall detectors, weather radios and movement detectors.</t>
  </si>
  <si>
    <t>Personal Emergency Response System (40)</t>
  </si>
  <si>
    <t xml:space="preserve">Provision and/or installation of electronic devices designed to provide access to emergency crisis intervention for medical or environmental emergencies through a communication connection system. </t>
  </si>
  <si>
    <t>42c-Recreation / Socialization (Contacts)</t>
  </si>
  <si>
    <t xml:space="preserve">Activities facilitated by an instructor or provider that promote socialization and mental enrichment.  Includes clubs and programming for other leisure activities (i.e. sports, performing/creative arts, music, games, crafts, travel, gardening, environmental activities, intergenerational activities, etc.).  Does not include activities funded by the nutrition program, health promotion activities, or training (see definitions for Nutrition Education, Health Promotion Activities, and Training).  </t>
  </si>
  <si>
    <t>Billiards (42c)</t>
  </si>
  <si>
    <t>A game that includes pool and other billiard games. </t>
  </si>
  <si>
    <t>Bingo (42c)</t>
  </si>
  <si>
    <t>A game.</t>
  </si>
  <si>
    <t>Book Club (42c)</t>
  </si>
  <si>
    <t>A discussion club in which a group of people meet to discuss a book or books they have read. </t>
  </si>
  <si>
    <t>Bridge Class (42c)</t>
  </si>
  <si>
    <t>A card game that includes bridge or contract bridge.  Includes bridge clubs or tournaments.</t>
  </si>
  <si>
    <t>Cards (42c)</t>
  </si>
  <si>
    <t>Any game using playing cards. </t>
  </si>
  <si>
    <t>Ceramics (42c)</t>
  </si>
  <si>
    <t>Craft that includes making pottery or other ceramic items. </t>
  </si>
  <si>
    <t>Crafts (42c)</t>
  </si>
  <si>
    <t>Arts and crafts.</t>
  </si>
  <si>
    <t>Movies (42c)</t>
  </si>
  <si>
    <t>Showing films of interest to older individuals. </t>
  </si>
  <si>
    <t>Senior Trips (42c)</t>
  </si>
  <si>
    <t>Outings to places of interest to older individuals. </t>
  </si>
  <si>
    <t>Special Events (42c)</t>
  </si>
  <si>
    <t>A one-time or infrequently occurring event outside of normal programs or activities.</t>
  </si>
  <si>
    <t>48-Support Groups</t>
  </si>
  <si>
    <t>A service led by a facilitator to discuss common experiences and concerns and develop a mutual support system. Support groups are typically held on a regularly scheduled basis and may be conducted in person, over the telephone, or online.  May include “peer‐to‐peer support groups” and can be led by a lay person, health care professional, or both.</t>
  </si>
  <si>
    <t>Grandparents Raising Grandchildren (48)</t>
  </si>
  <si>
    <t>Support group services provided to grandparents raising grandchildren.</t>
  </si>
  <si>
    <t>Non-NFCSP Caregiver Support (48)</t>
  </si>
  <si>
    <t xml:space="preserve">A service led by a trained individual, moderator, or professional to facilitate caregivers to discuss their common experiences and concerns and develop a mutual support system. Support groups are typically held on a regularly scheduled basis and may be conducted in person, over the telephone, or online. </t>
  </si>
  <si>
    <t>Parkinson Support Group (48)</t>
  </si>
  <si>
    <t>Support group services provided to older adults with Parkinson’s Disease, their families, friends, and/or caregivers.</t>
  </si>
  <si>
    <t>50-Visiting (Contacts)</t>
  </si>
  <si>
    <t>Making contact, through either telephone or in-home visits, with a homebound older individual to reduce social isolation, assure their well-being and safety, and to provide companionship and social interaction.  May include assistance with writing, reading, interpreting and/or translating business and personal correspondence.</t>
  </si>
  <si>
    <t>By Telephone (50)</t>
  </si>
  <si>
    <t>Making contact via telephone with a homebound older individual to reduce social isolation, assure their well-being and safety, and to provide companionship and social interaction.</t>
  </si>
  <si>
    <t>In Person (50)</t>
  </si>
  <si>
    <t>Making contact via in-home visits with a homebound older individual to reduce social isolation, assure their well-being and safety, and to provide companionship and social interaction.</t>
  </si>
  <si>
    <t>51-Telephoning</t>
  </si>
  <si>
    <t>Telephone Services inclue phoneing in order to provide comfort or help or check up on the elder.  (Title VI only)</t>
  </si>
  <si>
    <t>52-Vouchers sent/given</t>
  </si>
  <si>
    <t>Vouchers</t>
  </si>
  <si>
    <r>
      <t xml:space="preserve">Vouchers provided to track services where vouchers were provided - you will also have to enter the actual service the voucher was redeemed for. </t>
    </r>
    <r>
      <rPr>
        <b/>
        <sz val="10"/>
        <rFont val="Arial"/>
        <family val="2"/>
      </rPr>
      <t>(NOAA only)</t>
    </r>
  </si>
  <si>
    <t>Cafe 60 (52)</t>
  </si>
  <si>
    <r>
      <t>Vouchers provided to track Café 60 meals where vouchers were provided - you will also have to enter the actual meal service the voucher was redeemed for.</t>
    </r>
    <r>
      <rPr>
        <b/>
        <sz val="10"/>
        <rFont val="Arial"/>
        <family val="2"/>
      </rPr>
      <t xml:space="preserve">  (NOAA only)</t>
    </r>
  </si>
  <si>
    <t>Farmer's Market Vouchers (52)</t>
  </si>
  <si>
    <r>
      <t xml:space="preserve">Vouchers provided to track Farmer's Market Vouchers where vouchers were provided.  There is no NAPIS allowable service to match against, but you can record when the voucher was redeemed.  </t>
    </r>
    <r>
      <rPr>
        <b/>
        <sz val="10"/>
        <rFont val="Arial"/>
        <family val="2"/>
      </rPr>
      <t>(NOAA only)</t>
    </r>
  </si>
  <si>
    <t>Respite Vouchers (52)</t>
  </si>
  <si>
    <r>
      <t>Assistance to caregivers in the form of vouchers that will help meet identified needs associated with the caregiver’s responsibilities while the primary caregiver needs relief.</t>
    </r>
    <r>
      <rPr>
        <b/>
        <sz val="10"/>
        <rFont val="Arial"/>
        <family val="2"/>
      </rPr>
      <t xml:space="preserve"> (NOAA only)</t>
    </r>
  </si>
  <si>
    <t>53-Family Support</t>
  </si>
  <si>
    <t>Provision of service to family members who care for a tribal elder, such as counseling or discussing the elder’s situation. (Title VI only)</t>
  </si>
  <si>
    <t>55-Commodity Food Box</t>
  </si>
  <si>
    <t>Monthly food packages distributed to low-income adults age 60 and older as part of the Commodity Supplemental Food Program (CSFP).  The CSFP is funded by USDA, not the Older Americans Act. (NOAA Only)</t>
  </si>
  <si>
    <t>56-Vouchers Redeemed</t>
  </si>
  <si>
    <t>Vouchers redeemed to track services where vouchers were provided - you may also have to enter the actual service the voucher was redeemed for.   (NOAA Only)</t>
  </si>
  <si>
    <t>Farmer's Market Vouchers (56)</t>
  </si>
  <si>
    <t>Vouchers redeemed to track Senior Farmer's Market Nutrition Program. (NOAA Only)</t>
  </si>
  <si>
    <t>Respite Vouchers (56)</t>
  </si>
  <si>
    <r>
      <t xml:space="preserve">Vouchers to track respite care vouchers redeemed for services.  </t>
    </r>
    <r>
      <rPr>
        <b/>
        <sz val="10"/>
        <rFont val="Arial"/>
        <family val="2"/>
      </rPr>
      <t>Must also enter the service under 18-Temporary Respite Care</t>
    </r>
    <r>
      <rPr>
        <sz val="10"/>
        <rFont val="Arial"/>
        <family val="2"/>
      </rPr>
      <t>. (NOAA Only)</t>
    </r>
  </si>
  <si>
    <t>57-Ombudsman</t>
  </si>
  <si>
    <t>57-Ombudsan</t>
  </si>
  <si>
    <t>Investigating and resolving complaints made by or for older Indians residing in long-term care faciillties; provide information about problems of resident older Indians.  (Title VI only)</t>
  </si>
  <si>
    <t>58-Escort Service</t>
  </si>
  <si>
    <t>Accompanying and personally assisting a cleint to obtain a service. (Title VI only)</t>
  </si>
  <si>
    <t>59-Interpreting/Translating</t>
  </si>
  <si>
    <t>Explaining the meaning of oral and/or written communication to non-English speaking and/or persons living with a disabilty unable to perform the function.  (Title VI only)</t>
  </si>
  <si>
    <t>60-Lending Closet - Caregiver (Items)</t>
  </si>
  <si>
    <t>Items</t>
  </si>
  <si>
    <t>A loan closet is a program that allows people to borrow durable medical equipment and home medical equipment at no cost or at low cost.  Two or more ADLs. (Title VI only)</t>
  </si>
  <si>
    <t>64-Caregiver Case Management</t>
  </si>
  <si>
    <t>6501h-Caregiver Counseling (Hours)</t>
  </si>
  <si>
    <t>65a-Caregiver Counseling (Hours)</t>
  </si>
  <si>
    <t>Caregivers need counseling and training about the best way to take care of themselves and training in how to perform some caregiver responsibilities, such as getting an elder out of bed. Some programs coordinate with their mental health program to provide in-home counseling for caregivers. Other programs work with their clinics or CHRs to provide training for the caregiver about caregiving tasks. (Title VI only)</t>
  </si>
  <si>
    <t>6501s-Caregiver Counseling (Sessions)</t>
  </si>
  <si>
    <t>6501s-Caregiver Counseling</t>
  </si>
  <si>
    <t>Provision of professional advice, guidance, and instruction, either on a one-time or ongoing basis, to caregivers to assist them in decision making and problem solving in their caregiver role.  May be provided by telephone or in person by paid, donated and/or volunteer staff who have been professionally trained to address the complex physical, behavioral, and emotional problems related to caregiver roles.  Includes emotional support, problem identification and resolution, skill building, grief counseling, mental health counseling, etc. Does not include support group activities (peer led) or training (See definitions for Caregiver Support Groups and Caregiver Training).</t>
  </si>
  <si>
    <t>Grandparent Counseling (6501s)</t>
  </si>
  <si>
    <t>Counseling services provided to grandparents raising grandchildren.</t>
  </si>
  <si>
    <t>Individual Counseling (6501s)</t>
  </si>
  <si>
    <t>One-on-one counseling for caregivers.</t>
  </si>
  <si>
    <t>6502h-Caregiving Training (Hours)</t>
  </si>
  <si>
    <t>65b-Caregiving Training (Hours)</t>
  </si>
  <si>
    <t>Training required by the OAA includes health, nutrition, and financial literacy, and training in making decisions and solving problems relating to their caregiving roles.  Training can be about general things such as communication with elders with dementia, end-of-life signs, or incontinence or as specific as catheter care, tube feeding, or filling insulin syringes. It is important that the person doing the training be qualified to provide it. (Title VI only)</t>
  </si>
  <si>
    <t>6502s-Caregiver Training (Session)</t>
  </si>
  <si>
    <t>6502s-Caregiver Training</t>
  </si>
  <si>
    <t xml:space="preserve">Provision of formal or informal opportunities for caregivers to acquire knowledge, experience or skills related to their caregiving roles and responsibilities.  Includes individual or group events.  Training topics could include health, nutrition, financial management, personal care techniques, end-of-life signs, incontinence, administering medications, and communication strategies for health care providers, other family members, and older individuals with dementia.  May include use of evidence-based programs, be conducted in-person or online, and be provided in individual or group settings. Does not include staff training. </t>
  </si>
  <si>
    <t>Conference (6502s)</t>
  </si>
  <si>
    <t>Conferences or workshops consisting of targeted information and/or interactive sessions for caregivers that have a formal theme and agenda and at least one primary speaker or session.</t>
  </si>
  <si>
    <t>Intermission Program (6502s)</t>
  </si>
  <si>
    <t xml:space="preserve">A collaborative, intergenerational program of art, music and conversation for caregivers and care recipients.  </t>
  </si>
  <si>
    <t>Powerful Tools for Caregivers Class (6502s)</t>
  </si>
  <si>
    <t>An evidence-based program designed to provide family caregivers with tools necessary to increase their self-care and confidence.  The program improves self-care behaviors, management of emotions, self-efficacy, and use of community resources.</t>
  </si>
  <si>
    <t>6503h-Caregiver Support Groups (Hours)</t>
  </si>
  <si>
    <t>65c-Caregiver Support Groups (Hours)</t>
  </si>
  <si>
    <t>In a support group, members provide each other with various types of nonprofessional, nonmaterial help for a particular shared issue. The help may take the form of providing relevant information, relating personal experiences, listening to others’ experiences, providing sympathetic understanding and establishing social networks. (Title VI only)</t>
  </si>
  <si>
    <t>6503s-Caregiver Support Groups (Sessions)</t>
  </si>
  <si>
    <t>6503s-Caregiver Support Groups</t>
  </si>
  <si>
    <t xml:space="preserve">A service led by a facilitator to discuss common caregiver experiences and concerns and develop a mutual support system for caregivers and their families. Support groups are typically held on a regularly scheduled basis and may be conducted in person, over the telephone, or online.  Can be led by a lay person, health care professional, or both. Does not include “caregiver education groups,” “peer‐to‐peer support groups,” or other groups primarily aimed at teaching skills or meeting on an informal basis without a trained facilitator. </t>
  </si>
  <si>
    <t>Alzheimer's &amp; Dementia (6503s)</t>
  </si>
  <si>
    <t>A support group that focuses on discussion of Alzheimer’s Disease and dementia and assists families in coping with the problems associated with caring for an older individual diagnosed with Alzheimer’s Disease or dementia.</t>
  </si>
  <si>
    <t>Gparents Raising Grandchildren (6503s)</t>
  </si>
  <si>
    <t>66a-Respite Care, In Home (Hours)</t>
  </si>
  <si>
    <t xml:space="preserve">An in-home service that includes an appropriately skilled provider or volunteer providing additional short-term, temporary supports to the caregiver or care recipient that allow the caregiver rest or relief to do other activities.  The care recipient must be unable to perform a minimum of two activities of daily living (ADLs), independent activities of daily living (IADLs) or a combination of the two which are identified through an assessment.  </t>
  </si>
  <si>
    <t>Chore (66a)</t>
  </si>
  <si>
    <t xml:space="preserve">An in-home service that includes an appropriately skilled provider or volunteer assisting a caregiver with non-continual household tasks.  Chore activities include:  installing screens and storm windows, cleaning appliances, cleaning and securing carpets and rugs, washing walls and windows, scrubbing floors, cleaning attics and basements to remove fire and health hazards, pest control, grass cutting and leaf raking, clearing walkways of ice, snow and leaves, trimming overhanging tree branches, wood chopping, and moving heavy furniture. </t>
  </si>
  <si>
    <t>General Respite (66a)</t>
  </si>
  <si>
    <t>An appropriately trained in-home care provider whose primary responsibility is to provide socialization and companionship for the person with dementia.</t>
  </si>
  <si>
    <t>Grandparent Respite - Child Care (66a)</t>
  </si>
  <si>
    <t xml:space="preserve">An in-home service that includes an appropriately skilled individual providing companionship, supervision and/or assistance with activities of daily living for children (aged 18 and under) living with an older individual (aged 60 and over) who is their primary caregiver, in the absence of that caregiver. </t>
  </si>
  <si>
    <t>Homemaker (66a)</t>
  </si>
  <si>
    <t xml:space="preserve">An in-home service that includes an appropriately skilled provider or volunteer providing assisting with routine household tasks.  Homemaker tasks include:  laundry, ironing, meal preparation, shopping for necessities (including groceries), and light housekeeping tasks (e.g., dusting, vacuuming, mopping floors, cleaning bathroom and kitchen, making beds, maintaining safe environment). </t>
  </si>
  <si>
    <t>Personal Care (66a)</t>
  </si>
  <si>
    <t xml:space="preserve">An in-home service that includes an appropriately skilled provider or volunteer providing personal assistance, stand-by assistance, supervision or cues for a care recipient having difficulties with one or more activities of daily living (ADLs) such as: bathing, dressing, toileting, getting in/out of a bed or chair, eating or walking.  </t>
  </si>
  <si>
    <t>66b-Respite Care-Facility Based Day (Hours)</t>
  </si>
  <si>
    <t>A service in which a care recipient attends a supervised, protective, and congregate setting during some portion of a day and an overnight stay does not occur. These services provide facility-based respite care during the day by providing short-term, temporary supports to the caregiver or care recipient that allow the caregiver rest or relief to do other activities.  The care recipient must be unable to perform a minimum of two activities of daily living (ADLs), independent activities of daily living (IADLs) or a combination of the two which are identified through an assessment.</t>
  </si>
  <si>
    <t>Adult Day Care (66b)</t>
  </si>
  <si>
    <t xml:space="preserve">Services offered in conjunction with adult day care typically include social and recreational activities, training, counseling, and services such as rehabilitation, medication assistance, and home health aide services for adult day health.  Care recipients served require supervision but do not require institutionalization. </t>
  </si>
  <si>
    <t>Grandparent Respite - Child Care - Special Activity (66b)</t>
  </si>
  <si>
    <t xml:space="preserve">A service in which a child attends a specific activity during some portion of a day and an overnight stay does not occur.  An appropriately skilled individual provides companionship, supervision and/or assistance with activities of daily living for children (aged 18 and under) in the absence of their caregiver age 60 or older. </t>
  </si>
  <si>
    <t>Grandparent Respite - Child Care (66b)</t>
  </si>
  <si>
    <t xml:space="preserve">A service in which a child attends a child care facility or after-school program during some portion of a day and an overnight stay does not occur. An appropriately skilled individual provides companionship, supervision and/or assistance with activities of daily living for children (aged 18 and under) in the absence of their caregiver age 60 or older. </t>
  </si>
  <si>
    <t>66c-Respite Care-Facility Based Overnight (Hours)</t>
  </si>
  <si>
    <t>A service in which a care recipient is placed in a facility (such as a nursing home, assisted living facility, or hospital) for an overnight stay.  Service occurs on a temporary and intermittent, occasional, or emergency basis and allows the caregiver rest or relief to do other activities.  The care recipient must be unable to perform a minimum of two activities of daily living (ADLs), independent activities of daily living (IADLs) or a combination of the two which are identified through an assessment.</t>
  </si>
  <si>
    <t>Caregiver Respite - Overnight Stay (66c)</t>
  </si>
  <si>
    <t>A service in which a care recipient is placed in a facility (such as a nursing home, assisted living facility, or hospital) for an overnight stay.</t>
  </si>
  <si>
    <t>Grandparent Respite - Child Care (66c)</t>
  </si>
  <si>
    <t xml:space="preserve">A service in which a child is placed in a residential setting for an overnight stay.  An appropriately skilled individual provides companionship, supervision and/or assistance with activities of daily living for children (aged 18 and under) in the absence of their caregiver age 60 or older. Children may receive personal care or nursing care as part of this service. </t>
  </si>
  <si>
    <t>67-Supplemental Services</t>
  </si>
  <si>
    <t>Goods and services provided on a limited basis to complement the care provided by caregivers when needs cannot be met through traditional funding sources or existing community programs.  Examples include home services (home repair and modifications, assistive devices/technology, home security and safety, and consumable supplies), and transportation/assisted transportation.</t>
  </si>
  <si>
    <t>Assisted Transportation / One-Way Trips (67)</t>
  </si>
  <si>
    <t xml:space="preserve">Provision of assistance, including escort, to a person who has difficulties (physical or cognitive) using regular vehicular transportation. The “trip” includes the following: assisting the older individual in preparation for the trip, assisting the older individual from their place of residence into the transportation vehicle, assisting the older individual from the transportation vehicle to the destination (such as the doctor’s office), staying with the older individual at the point of destination; assisting the older individual from the destination into the transportation vehicle; and assisting the individual from the transportation vehicle to their place of residence. Includes rides on predetermined routes and rides provided upon customer request. </t>
  </si>
  <si>
    <t>Assistive Devices/Technologies (67)</t>
  </si>
  <si>
    <t>Provision and/or installation of supportive equipment in the home environment of an older individual to prevent or minimize the occurrence of injuries and maintain the health and safety of the older individual.  Includes toilet risers, bathtub transfer benches, commodes.  Does not include any structural or restorative home repair or modifications, chore or homemaker activities (See definitions for Home Repair and Modifications, Chore, and Homemaker).</t>
  </si>
  <si>
    <r>
      <t xml:space="preserve">Consumable </t>
    </r>
    <r>
      <rPr>
        <sz val="10"/>
        <rFont val="Arial"/>
        <family val="2"/>
      </rPr>
      <t>Supplies (67)</t>
    </r>
  </si>
  <si>
    <t>A consumable good.  Includes incontinence supplies and meals that cannot be paid for using Title III C funds.</t>
  </si>
  <si>
    <t>Home Repairs and Modifications (67)</t>
  </si>
  <si>
    <t>Personal Emergency Response System (67)</t>
  </si>
  <si>
    <t>Provision and/or installation of electronic devices designed to provide access to emergency crisis intervention for medical or environmental emergencies through a communication connection system.</t>
  </si>
  <si>
    <t>Professional Visit by RN, OT, PT or Nutritionist (67)</t>
  </si>
  <si>
    <t>Home health services such as nursing, nutrition counseling, physical therapy, speech therapy, or occupational therapy.</t>
  </si>
  <si>
    <t>Transportation / One-Way Trips (67)</t>
  </si>
  <si>
    <t>Provision of transportation for a person from one location to another.  Does not include any other activity.  Includes rides on predetermined routes and rides provided upon customer request.</t>
  </si>
  <si>
    <t>68-Information Services</t>
  </si>
  <si>
    <t xml:space="preserve">Contacts with a group of older adults, their caregivers, or the general public, to inform them of caregiver services or resources available within their communities. Examples include but are not limited to health fairs, publications, newsletters, brochures, caregiver conferences, publicity or mass media campaigns, and other similar informational activities in accordance with state policy. These activities are directed at groups and large audiences of caregivers. Note that provision of individualized information in response to a caregiver’s inquiry should be captured under Access Assistance: Information and Assistance. </t>
  </si>
  <si>
    <t>Conference (68)</t>
  </si>
  <si>
    <t xml:space="preserve">Caregiver conferences or other public events.  </t>
  </si>
  <si>
    <t>Grandparent Newsletter (68)</t>
  </si>
  <si>
    <t>Informational Mailings (68)</t>
  </si>
  <si>
    <t>Distribution of accurate, timely, and relevant caregiver information via US mail or email.</t>
  </si>
  <si>
    <t>Memory Cafe (68)</t>
  </si>
  <si>
    <t>Newsletter (68)</t>
  </si>
  <si>
    <t>Distribution of newspapers or newsletters containing accurate, timely, and relevant information of interest to and affecting the wellbeing of older adults or their caregivers.</t>
  </si>
  <si>
    <t>Newspaper (68)</t>
  </si>
  <si>
    <t>Public Exhibit (68)</t>
  </si>
  <si>
    <t>Distribution of accurate, timely, and relevant caregiver information via booths, exhibits or fairs.</t>
  </si>
  <si>
    <t>Public Presentation (68)</t>
  </si>
  <si>
    <t>Distribution of accurate, timely, and relevant caregiver information via formal group audio visual presentations.</t>
  </si>
  <si>
    <t>Radio (68)</t>
  </si>
  <si>
    <r>
      <t xml:space="preserve">Taped </t>
    </r>
    <r>
      <rPr>
        <sz val="10"/>
        <rFont val="Arial"/>
        <family val="2"/>
      </rPr>
      <t>Presentation (68)</t>
    </r>
  </si>
  <si>
    <t>Distribution of accurate, timely, and relevant caregiver information via taped audio visual presentations on topics of interest to and affecting the wellbeing of older adults and their caregivers.  Taped presentations could be webinars or shared via other electronic media.</t>
  </si>
  <si>
    <r>
      <t xml:space="preserve">Television </t>
    </r>
    <r>
      <rPr>
        <sz val="10"/>
        <rFont val="Arial"/>
        <family val="2"/>
      </rPr>
      <t>(68)</t>
    </r>
  </si>
  <si>
    <t>Distribution of accurate, timely, and relevant caregiver information via television interviews or programs.</t>
  </si>
  <si>
    <t>6901-Caregiver Information </t>
  </si>
  <si>
    <t>Caregivers may need information about services, equipment, and the illness or condition their loved one is experiencing.  (Title VI only)</t>
  </si>
  <si>
    <t>6902-Caregiver Assistance</t>
  </si>
  <si>
    <t>Assistance may be assistance with paperwork, finding resources, or helping them access programs that can provide assistance with yard work or heavy chores, housecleaning, or other tasks. (Title VI only)</t>
  </si>
  <si>
    <t>69-Access Assistance</t>
  </si>
  <si>
    <t>Access Assistance (69)</t>
  </si>
  <si>
    <t>71-Transportation Expense</t>
  </si>
  <si>
    <t>Dollars</t>
  </si>
  <si>
    <t>(NOAA only)</t>
  </si>
  <si>
    <t>73-Hours of Service</t>
  </si>
  <si>
    <t>7500-Administration (AFCSP)</t>
  </si>
  <si>
    <r>
      <t>General management functions of the agency that cannot be diretly allocated to a cost center or service, related to the management and administration of funds from the Bureau of Aging and Disabilty Resources. Limited to 10% of the annual AFCSP allocation.</t>
    </r>
    <r>
      <rPr>
        <b/>
        <sz val="10"/>
        <rFont val="Arial"/>
        <family val="2"/>
      </rPr>
      <t xml:space="preserve"> This is a fiscal reported service only to be reported on the monthly claim form as funding is expended.  There will be no services entered into SAMS.</t>
    </r>
  </si>
  <si>
    <t>7502c-Caregiver Respite (AFCSP)</t>
  </si>
  <si>
    <t>These services provide respite care by providing short-term, temporary supports to the caregiver that allow the caregiver rest or relief to do other activities.  Do not enter the service into both the caregiver and the individual participant - this is not a reciprocated service.</t>
  </si>
  <si>
    <t>Adult Day Care (7502c)</t>
  </si>
  <si>
    <r>
      <t xml:space="preserve">A service in which a care recipient attends a supervised, protective, and congregate setting during some portion of a day and an overnight stay does not occur, that allow the caregiver rest or relief.  </t>
    </r>
    <r>
      <rPr>
        <b/>
        <sz val="10"/>
        <rFont val="Arial"/>
        <family val="2"/>
      </rPr>
      <t>If this is used as IIIE-NFCSP Match it must ALSO be entered as 66B-Respite Care - Facilty Based Day, Adult Day Care.</t>
    </r>
  </si>
  <si>
    <t>General Respite (7502c)</t>
  </si>
  <si>
    <r>
      <t xml:space="preserve">Other hours of caregiver respite that provides short-term, temporary supports to the caregiver that allow the caregiver rest or relief.   </t>
    </r>
    <r>
      <rPr>
        <b/>
        <sz val="10"/>
        <rFont val="Arial"/>
        <family val="2"/>
      </rPr>
      <t xml:space="preserve"> If this is used as IIIE-NFCSP Match it must ALSO be entered as 66a - Respite - In Home, General Respite.</t>
    </r>
  </si>
  <si>
    <t>Homemaker/Chores (7502c)</t>
  </si>
  <si>
    <r>
      <t xml:space="preserve">Providing assistance with routine household tasks to people having difficulties with one or more of the following instrumental activities of daily living (IADLs):  preparing meals, managing medications, managing money, doing light housework, shopping, traveling, and using a telephone or providing assistance with non-continual household tasks to people having difficulties with one or more of the following instrumental activities of daily living (IADLs):  doing heavy housework and outside chores, that allow the caregiver rest or relief. </t>
    </r>
    <r>
      <rPr>
        <b/>
        <sz val="10"/>
        <rFont val="Arial"/>
        <family val="2"/>
      </rPr>
      <t xml:space="preserve"> If this is used as IIIE-NFCSP Match it must ALSO be entered as 66a - Respite - In Home, Homaker or Chore.</t>
    </r>
  </si>
  <si>
    <t>In-Home General Care (7502c)</t>
  </si>
  <si>
    <r>
      <t xml:space="preserve">An in-home service that includes an appropriately skilled provider or volunteer providing additional short-term, temporary supports to the caregiver that allow the caregiver rest or relief.  </t>
    </r>
    <r>
      <rPr>
        <b/>
        <sz val="10"/>
        <rFont val="Arial"/>
        <family val="2"/>
      </rPr>
      <t>If this is used as IIIE-NFCSP Match it must ALSO be entered as 66a - Respite - In Home, General Respite.</t>
    </r>
  </si>
  <si>
    <t>In-Home Personal Care (7502c)</t>
  </si>
  <si>
    <r>
      <t xml:space="preserve">Providing personal assistance, stand-by assistance, supervision or cues for people having difficulties with one or more activities of daily living (ADLs) such as: bathing, dressing, toileting, getting in/out of a bed or chair, eating or walking, that allow the caregiver rest or relief. </t>
    </r>
    <r>
      <rPr>
        <b/>
        <sz val="10"/>
        <rFont val="Arial"/>
        <family val="2"/>
      </rPr>
      <t xml:space="preserve"> If this is used as IIIE-NFCSP Match it must ALSO be entered as 66a - Respite - In Home, Personal Care.</t>
    </r>
  </si>
  <si>
    <t>Overnight Facility Care (7502c)</t>
  </si>
  <si>
    <r>
      <t xml:space="preserve">A service in which a care recipient is placed in a facility (such as a nursing home, assisted living facility, or hospital) for an overnight stay.  Service occurs on a temporary and intermittent, occasional, or emergency basis and allows the caregiver rest or relief to do other activities. </t>
    </r>
    <r>
      <rPr>
        <b/>
        <sz val="10"/>
        <rFont val="Arial"/>
        <family val="2"/>
      </rPr>
      <t xml:space="preserve"> If this is used as IIIE-NFCSP Match it must ALSO be entered as 66c-Respite Care-Facility Based Overnight, Caregiver Respite Overnight Stay.</t>
    </r>
  </si>
  <si>
    <t>7502i-Individual Care (AFCSP)</t>
  </si>
  <si>
    <t>These services provide care by providing short-term, temporary supports to the individual participant who does not have a caregiver.  Do not enter the service into both the caregiver and the individual participant - this is not a reciprocated service.</t>
  </si>
  <si>
    <t>Adult Day Care (7502i)</t>
  </si>
  <si>
    <r>
      <t xml:space="preserve">A service in which a individual participant attends a supervised, protective, and congregate setting during some portion of a day and an overnight stay does not occur.  </t>
    </r>
    <r>
      <rPr>
        <b/>
        <sz val="10"/>
        <rFont val="Arial"/>
        <family val="2"/>
      </rPr>
      <t>If this is used as IIIE-NFCSP Match it must ALSO be entered as 66B-Respite Care - Facilty Based Day, Adult Day Care.</t>
    </r>
  </si>
  <si>
    <t>Homemaker/Chores (7502i)</t>
  </si>
  <si>
    <r>
      <t xml:space="preserve">Providing assistance with routine household tasks to a individual participant having difficulties with one or more of the following instrumental activities of daily living (IADLs):  preparing meals, managing medications, managing money, doing light housework, shopping, traveling, and using a telephone or providing assistance with non-continual household tasks to people having difficulties with one or more of the following instrumental activities of daily living (IADLs):  doing heavy housework and outside chores. </t>
    </r>
    <r>
      <rPr>
        <b/>
        <sz val="10"/>
        <rFont val="Arial"/>
        <family val="2"/>
      </rPr>
      <t xml:space="preserve"> If this is used as IIIE-NFCSP Match it must ALSO be entered as 66a - Respite - In Home, Homaker or Chore.</t>
    </r>
  </si>
  <si>
    <t>In-Home General Care (7502i)</t>
  </si>
  <si>
    <r>
      <t xml:space="preserve">An in-home service that includes an appropriately skilled provider or volunteer providing additional short-term, temporary supports to the individual participant.  </t>
    </r>
    <r>
      <rPr>
        <b/>
        <sz val="10"/>
        <rFont val="Arial"/>
        <family val="2"/>
      </rPr>
      <t>If this is used as IIIE-NFCSP Match it must ALSO be entered as 66a - Respite - In Home, General Respite.</t>
    </r>
  </si>
  <si>
    <t>In-Home Personal Care (7502i)</t>
  </si>
  <si>
    <r>
      <t xml:space="preserve">Providing personal assistance, stand-by assistance, supervision or cues to an individual participant having difficulties with one or more activities of daily living (ADLs) such as: bathing, dressing, toileting, getting in/out of a bed or chair, eating or walking. </t>
    </r>
    <r>
      <rPr>
        <b/>
        <sz val="10"/>
        <rFont val="Arial"/>
        <family val="2"/>
      </rPr>
      <t xml:space="preserve"> If this is used as IIIE-NFCSP Match it must ALSO be entered as 66a - Respite - In Home, Personal Care.</t>
    </r>
  </si>
  <si>
    <t>Overnight Facility Care (7502i)</t>
  </si>
  <si>
    <r>
      <t xml:space="preserve">A service in which an individual participant is placed in a facility (such as a nursing home, assisted living facility, or hospital) for an overnight stay.  Service occurs on a temporary and intermittent, occasional, or emergency basis. </t>
    </r>
    <r>
      <rPr>
        <b/>
        <sz val="10"/>
        <rFont val="Arial"/>
        <family val="2"/>
      </rPr>
      <t xml:space="preserve"> If this is used as IIIE-NFCSP Match it must ALSO be entered as 66c-Respite Care-Facility Based Overnight, Caregiver Respite Overnight Stay.</t>
    </r>
  </si>
  <si>
    <t>7504-Other Goods and Services (AFCSP)</t>
  </si>
  <si>
    <t>Other Goods and Services (7504)</t>
  </si>
  <si>
    <r>
      <t xml:space="preserve">Goods and services provided on a limited basis to compliment the care provided by caregivers or to an individual participant when needs cannot be met through traditional funding sources or existing community programs.  Examples include home services (home repair and modifications, assistive devices/technology, home security and safety, and consumable supplies), and transportation/assisted transportation. </t>
    </r>
    <r>
      <rPr>
        <b/>
        <sz val="10"/>
        <rFont val="Arial"/>
        <family val="2"/>
      </rPr>
      <t xml:space="preserve"> If this is used as IIIE-NFCSP Match it must ALSO be entered as 67-Supplemental Services, corresponding subservice.</t>
    </r>
  </si>
  <si>
    <t>7506-Outreach (AFCSP)</t>
  </si>
  <si>
    <r>
      <t xml:space="preserve">One-on-one contacts with older adults or their caregivers initiated by an agency or organization to encourage their use of existing services and benefits.  Does not include a group activity that involves a contact with several current or potential caregivers/individual participants (see Public Awareness definition). </t>
    </r>
    <r>
      <rPr>
        <b/>
        <sz val="10"/>
        <rFont val="Arial"/>
        <family val="2"/>
      </rPr>
      <t xml:space="preserve"> This should not be used as IIIE-NFCSP Match as there is no corresponding service.</t>
    </r>
  </si>
  <si>
    <t>7508-Public Awareness (AFCSP)</t>
  </si>
  <si>
    <r>
      <t xml:space="preserve">Contacts with a group of older adults, their caregivers, or the general public, to inform them of services or resources available within their communities. Examples include but are not limited to health fairs, publications, newsletters, brochures, caregiver conferences, publicity or mass media campaigns, and other similar informational activities in accordance with state policy. These activities are directed at groups and large audiences.  This service must be entered into a consumer group only under the 04-AFCSP Caregiver care enrollment.  </t>
    </r>
    <r>
      <rPr>
        <b/>
        <sz val="10"/>
        <rFont val="Arial"/>
        <family val="2"/>
      </rPr>
      <t xml:space="preserve"> If this is used as IIIE-NFCSP Match it must ALSO be entered as 68-Information Services, corresponding subservice.</t>
    </r>
  </si>
  <si>
    <t>7510-Support Group (AFCSP)</t>
  </si>
  <si>
    <r>
      <t xml:space="preserve">A service led by a facilitator to discuss common experiences and concerns and develop a mutual support system for caregivers and their families. Support groups are typically held on a regularly scheduled basis and may be conducted in person, over the telephone, or online.  Can be led by a lay person, health care professional, or both. Does not include “caregiver education groups,” “peer‐to‐peer support groups,” or other groups primarily aimed at teaching skills or meeting on an informal basis without a trained facilitator.  </t>
    </r>
    <r>
      <rPr>
        <b/>
        <sz val="10"/>
        <rFont val="Arial"/>
        <family val="2"/>
      </rPr>
      <t xml:space="preserve"> If this is used as IIIE-NFCSP Match it must ALSO be entered as 6503s-Caregiver Support Groups, corresponding subservice.</t>
    </r>
  </si>
  <si>
    <t>7512-Memory Screenings (AFCSP)</t>
  </si>
  <si>
    <r>
      <t xml:space="preserve">Administration of a memory screen (such as Mini-Cognistat, Animal Fluency or AD8).  May include provision of an appropriate referral and/or education to the customer and/or the customer’s family.  This service must be entered into the individual participant only under the 05-Care Recipeint/Participant care enrollment.  </t>
    </r>
    <r>
      <rPr>
        <b/>
        <sz val="10"/>
        <rFont val="Arial"/>
        <family val="2"/>
      </rPr>
      <t>This service will only be recorded in SAMS, there is no fiscal line item to report on - nor will this be used for IIIE-NFCSP Match.</t>
    </r>
  </si>
  <si>
    <t>84-Volunteer Mileage</t>
  </si>
  <si>
    <t>Miles</t>
  </si>
  <si>
    <t>Activity Aides (84)</t>
  </si>
  <si>
    <t>Evidence-Based Programs (84)</t>
  </si>
  <si>
    <t>Home Delivered Meals (84)</t>
  </si>
  <si>
    <t>Immunization Workers (84)</t>
  </si>
  <si>
    <t>Office Assistance (84)</t>
  </si>
  <si>
    <t>Transportation (84)</t>
  </si>
  <si>
    <t>86-Volunteer Time</t>
  </si>
  <si>
    <t>Activity Aides (86)</t>
  </si>
  <si>
    <t>Advisory Board (86)</t>
  </si>
  <si>
    <t>Assisted Transportation (86)</t>
  </si>
  <si>
    <t>Benefit Specialist-Data Entry (86)</t>
  </si>
  <si>
    <t>Bingo (86)</t>
  </si>
  <si>
    <t>Board Members (86)</t>
  </si>
  <si>
    <t>Canteen (86)</t>
  </si>
  <si>
    <t>Caregiver Coalition (86)</t>
  </si>
  <si>
    <t>Caregiver and Dementia Friendly Programs</t>
  </si>
  <si>
    <t>Congregate Meals (86)</t>
  </si>
  <si>
    <t>Crafts and Bingo (86)</t>
  </si>
  <si>
    <t>Evidence-Based Programs (86)</t>
  </si>
  <si>
    <t>Fairs / Sales (86)</t>
  </si>
  <si>
    <t>Foot Care Clinic (86)</t>
  </si>
  <si>
    <t>Guardians (86)</t>
  </si>
  <si>
    <t>Home Delivered Meals (86)</t>
  </si>
  <si>
    <t>Home Repair (86)</t>
  </si>
  <si>
    <t>Horticulture (86)</t>
  </si>
  <si>
    <t>Immunization Workers (86)</t>
  </si>
  <si>
    <t>Medicare Outreach (86)</t>
  </si>
  <si>
    <t>Part D Open Enrollment Volunteers meeting with customers</t>
  </si>
  <si>
    <t>Newsletter (86)</t>
  </si>
  <si>
    <t>Nutrition Advisory Council (86)</t>
  </si>
  <si>
    <t>Nutritional Assessments (86)</t>
  </si>
  <si>
    <t>Office Assistance (86)</t>
  </si>
  <si>
    <t>Support Group (86)</t>
  </si>
  <si>
    <t>Person who volunteers their time to host or co-host a support group</t>
  </si>
  <si>
    <t>Tax Assistance (86)</t>
  </si>
  <si>
    <t>Transportation (86)</t>
  </si>
  <si>
    <t>87-In-Kind</t>
  </si>
  <si>
    <t>In-Kind (87)</t>
  </si>
  <si>
    <t>Allocation of services or goods received as an In-Kind donation, such as free use of a meeting room.  This does not include Volunteer Time or Program Income contributions.</t>
  </si>
  <si>
    <t>Food Donation (87)</t>
  </si>
  <si>
    <t>Allocation of services or goods received as an In-Kind donation, such as a contribution of donated food items.  This does not include Volunteer Time or Program Income contributions.</t>
  </si>
  <si>
    <t>Meeting Facility (87)</t>
  </si>
  <si>
    <t>Allocation of services or goods received as an In-Kind donation, such as reduced or free use of a meeting room.  This does not include Volunteer Time or Program Income contributions.</t>
  </si>
  <si>
    <t>Printing (87)</t>
  </si>
  <si>
    <t>Allocation of services or goods received as an In-Kind donation, such as reduced or free printing for newsletters or advertising.  This does not include Volunteer Time or Program Income contributions.</t>
  </si>
  <si>
    <t>Rent (87)</t>
  </si>
  <si>
    <t>Allocation of services or goods received as an In-Kind donation, such as reduced or free use of a building.  This does not include Volunteer Time or Program Income contributions.</t>
  </si>
  <si>
    <t>92-Cancellations - Adult Day Care/Health</t>
  </si>
  <si>
    <t>94-Cancellations - Congregate Meals</t>
  </si>
  <si>
    <t>96-Cancellations - Home Delivered Meals</t>
  </si>
  <si>
    <t>Late Cancellation (96)</t>
  </si>
  <si>
    <t>Not Home for Delivery (96)</t>
  </si>
  <si>
    <t>For 2017:</t>
  </si>
  <si>
    <t>For All Benefit Specialists Reporting:</t>
  </si>
  <si>
    <t>There is NO BenefitSpecialist Tab.</t>
  </si>
  <si>
    <t xml:space="preserve">All Non-Matchable Benefit Specialists Expenses will go on the Red "Other - Benefit Spec Replacement" tab. </t>
  </si>
  <si>
    <t>1.  This TAB is to be used for Benefit Specialists expenses not using the I &amp; A Replacement 100% time reporting</t>
  </si>
  <si>
    <t>2.  This TAB will also be used by those doing I &amp; A 100% time reporting for the "non-matchable" expenses.</t>
  </si>
  <si>
    <t>I &amp; A Replacement 100% Time Reporting - Use the YELLOW "I &amp; A-Benefit Spec Repl" tab.</t>
  </si>
  <si>
    <t xml:space="preserve"> </t>
  </si>
  <si>
    <t>Use it just like you used the old TAB.  It will flow to the "Other - EBS Replacement</t>
  </si>
  <si>
    <t>line on the "Certificate of Claim".</t>
  </si>
  <si>
    <t>I&amp;A Replacement for Federal Match will continue on the "I&amp;A - Benefit Spec Replacement tab.</t>
  </si>
  <si>
    <t>Nothing has changed on this.</t>
  </si>
  <si>
    <r>
      <t xml:space="preserve">Questions??  Please call Deb Mould @ 608-243-5674  or email </t>
    </r>
    <r>
      <rPr>
        <b/>
        <u/>
        <sz val="12"/>
        <rFont val="Arial"/>
        <family val="2"/>
      </rPr>
      <t>deb.mould@gwaar.org</t>
    </r>
  </si>
  <si>
    <t>I&amp;A Replacement Instructions for the EBS and EBS-OCI (SPAP) Programs</t>
  </si>
  <si>
    <t>If you are claiming Federal Match funding using the EBS or EBS-OCI (SPAP) programs please following these guidelines for claim submission.</t>
  </si>
  <si>
    <r>
      <t xml:space="preserve">If you are </t>
    </r>
    <r>
      <rPr>
        <b/>
        <u/>
        <sz val="12"/>
        <rFont val="Arial"/>
        <family val="2"/>
      </rPr>
      <t>under</t>
    </r>
    <r>
      <rPr>
        <u/>
        <sz val="12"/>
        <rFont val="Arial"/>
        <family val="2"/>
      </rPr>
      <t xml:space="preserve"> the allocated budget:</t>
    </r>
  </si>
  <si>
    <t>Claim no more than 1/2 of your monthly expenditures within the claim form (I&amp;A Benefit Spec Replacement or I&amp;A EBS-OCI (SPAP) Replacement) on the corresponding Expenditure Category (I&amp;A Ben Spec - category 12 or I&amp;A EBS-OCI (SPAP) - category 91) and claim the remaining 1/2 of your monthly expenditures on the Federal Match line (column E, row 44).  Update the corresponding YTD figures for each expenditure amount.</t>
  </si>
  <si>
    <t>Example - your Ben Spec budget allocation is $28,215.  If the YTD expenditure total  for I&amp;A Ben Spec Replacement &amp; Other Ben Spec Replacement is under the allocated budget, then your current YTD expenditures on the I&amp;A Ben Spec Replacement form for the expenditure category 12 (column C, row 24) should equal the current YTD federal match expenditures (column H, row 44). If the prior month YTD expenditure total for the I&amp;A Ben Spec Replacement is $22,000 and you are claiming $5,000 in current monthly expenditures, then:</t>
  </si>
  <si>
    <t>Claim $2,500 within the claim form on expenditure category 12 and add this to the contracted YTD figure to give you $24,500, claim the remaining 1/2 of the monthly expenditures of $2,500 on the Federal Match line item below the claim form (column E, row 44) also add this to the Federal Match YTD line (column H, row 44) item to give you $24,500.</t>
  </si>
  <si>
    <t>Note - at this point your regular monthly I&amp;A Ben Spec Replacement YTD claim and the Federal Match YTD should match.</t>
  </si>
  <si>
    <t>The same methodology used in this example can be applied to your EBS-OCI (SPAP) budget allocation.</t>
  </si>
  <si>
    <t>County/Tribe:</t>
  </si>
  <si>
    <t>CERTIFICATION OF CLAIM</t>
  </si>
  <si>
    <t>Revision Date:  02-13-19</t>
  </si>
  <si>
    <t>AGENCY NAME</t>
  </si>
  <si>
    <t>The excel claim form is due electronically to the</t>
  </si>
  <si>
    <t>GWAAR office by the 15th of each month.</t>
  </si>
  <si>
    <t xml:space="preserve">NOTE:  Reminder you may have to </t>
  </si>
  <si>
    <t>enable editing to change Agency</t>
  </si>
  <si>
    <t>DATE FORM COMPLETED (MM/DD/YY)</t>
  </si>
  <si>
    <t>REPORT PERIOD (MM/YY)</t>
  </si>
  <si>
    <t>Name or Report Period.</t>
  </si>
  <si>
    <t xml:space="preserve">UNDER PENALTY OF PERJURY, I CERTIFY BY ELECTRONIC SIGNATURE OR TYPING IN MY NAME THAT THE </t>
  </si>
  <si>
    <t>INFORMATION REPORTED HERE IS TRUE AND CORRECT.  I FURTHER CERTIFY THE EXPENDITURES REPORTED</t>
  </si>
  <si>
    <t>ARE ACCURATE SUMMARIZATIONS OF THE FINANCIAL DATA CONTAINED ON THE AGENCY'S RECORDS.</t>
  </si>
  <si>
    <t xml:space="preserve">TOTAL REIMBURSABLE EXPENDITURES </t>
  </si>
  <si>
    <t>SIGNATURE OF AUTHORIZED PERSON</t>
  </si>
  <si>
    <t>DATE SIGNED</t>
  </si>
  <si>
    <r>
      <t xml:space="preserve">Contact Person, </t>
    </r>
    <r>
      <rPr>
        <b/>
        <u/>
        <sz val="10"/>
        <rFont val="Arial"/>
        <family val="2"/>
      </rPr>
      <t>Email Address</t>
    </r>
    <r>
      <rPr>
        <b/>
        <sz val="10"/>
        <rFont val="Arial"/>
        <family val="2"/>
      </rPr>
      <t xml:space="preserve"> and Phone Number:    </t>
    </r>
  </si>
  <si>
    <t>Contract/Program</t>
  </si>
  <si>
    <t>GWAAR Acct Information</t>
  </si>
  <si>
    <t>Monthly Amount</t>
  </si>
  <si>
    <t>YTD Amount</t>
  </si>
  <si>
    <t>Budget Amount</t>
  </si>
  <si>
    <t>% Expended</t>
  </si>
  <si>
    <t xml:space="preserve">III-B Supportive Services </t>
  </si>
  <si>
    <t>III-C 1 Congregate Meals</t>
  </si>
  <si>
    <t>III-C 2 Home Delivered Meals</t>
  </si>
  <si>
    <t>Nutrition Services Incentive Program (NSIP) 18-19</t>
  </si>
  <si>
    <t>Nutrition Services Incentive Program (NSIP) 17-18</t>
  </si>
  <si>
    <t xml:space="preserve">III-D Disease Prevention and Health Promotion Services </t>
  </si>
  <si>
    <t>III-E Family Caregiver Support Program</t>
  </si>
  <si>
    <t>State Alzheimer's Family And Caregiver Support Program</t>
  </si>
  <si>
    <t>State Senior Community Services</t>
  </si>
  <si>
    <t>State Elderly Benefit Services - I&amp;A Replacement</t>
  </si>
  <si>
    <t>State Elderly Benefit Services - Other Replacement</t>
  </si>
  <si>
    <t>State Elder Abuse Direct Services</t>
  </si>
  <si>
    <t>EBS - OCI Replacement  (SPAP) (All SPAP is one contract amount) 18-19</t>
  </si>
  <si>
    <t>EBS - OCI I&amp;A Replacement  18-19</t>
  </si>
  <si>
    <t>EBS - OCI Replacement - Other 18-19</t>
  </si>
  <si>
    <t>EBS - OCI I&amp;A Replacement  17-18</t>
  </si>
  <si>
    <t>EBS - OCI Replacement - Other 17-18</t>
  </si>
  <si>
    <t>EBS - OCI Replacement  (SPAP) (All SPAP is one contract amount) 17-18</t>
  </si>
  <si>
    <t>State Health Insurance Assistance Program (SHIP) Original 18-19</t>
  </si>
  <si>
    <t>State Health Insurance Assistance Program (SHIP) Original 17-18</t>
  </si>
  <si>
    <t>MIPPA 17-18</t>
  </si>
  <si>
    <t>MIPPA 18-19</t>
  </si>
  <si>
    <t>Federal Match - EBS OCI Replacement 18-19</t>
  </si>
  <si>
    <t>Federal Match - State Elderly Benefits Services - I&amp;A Replacement</t>
  </si>
  <si>
    <t>Federal Match - EBS OCI Replacement 17-18</t>
  </si>
  <si>
    <t>Revision Date:  02-13-19</t>
  </si>
  <si>
    <t>Form #SS100 (05/02)</t>
  </si>
  <si>
    <t>Greater Wisconsin Agency on Aging Resources - County/Tribal Monthly Claim Form</t>
  </si>
  <si>
    <t>CARS No:   560340</t>
  </si>
  <si>
    <t>Name of County/Tribe:</t>
  </si>
  <si>
    <t>CFDA#:  93.044</t>
  </si>
  <si>
    <t>Contract Period:</t>
  </si>
  <si>
    <t>Report for the Month of:</t>
  </si>
  <si>
    <t>Contract Amount:</t>
  </si>
  <si>
    <t>Expenditure 
Category</t>
  </si>
  <si>
    <t>Title III-B Expenditures this Month</t>
  </si>
  <si>
    <t>Title III-B Expenditures YTD</t>
  </si>
  <si>
    <t>Cash
Match
YTD</t>
  </si>
  <si>
    <t>In-Kind
Match
YTD</t>
  </si>
  <si>
    <t>Other
Federal
Expenditures YTD</t>
  </si>
  <si>
    <t>Other
State
Expenditures YTD</t>
  </si>
  <si>
    <t>Other
Local
Expenditures YTD</t>
  </si>
  <si>
    <t>Prior Year Program
Income Carryover</t>
  </si>
  <si>
    <t>Prior
Year
Program
Income
Expenditures YTD</t>
  </si>
  <si>
    <t>1.  Administration</t>
  </si>
  <si>
    <t>2.  Personal Care</t>
  </si>
  <si>
    <t>3.  Homemaker</t>
  </si>
  <si>
    <t>4.  Chore</t>
  </si>
  <si>
    <t>5.  Home Del Meals</t>
  </si>
  <si>
    <t>6.  Adult Day Care</t>
  </si>
  <si>
    <t>7.  Case Management</t>
  </si>
  <si>
    <t>8.  Congregate Meals</t>
  </si>
  <si>
    <t>9.  Nutrition Counsel.</t>
  </si>
  <si>
    <t>10p. Assisted Transpo.</t>
  </si>
  <si>
    <t>11p. Transportation</t>
  </si>
  <si>
    <t>12. Legal/Ben. Assist.</t>
  </si>
  <si>
    <t>13. Nutrition Education</t>
  </si>
  <si>
    <t>14. Info. &amp; Assistance</t>
  </si>
  <si>
    <t>15. Outreach</t>
  </si>
  <si>
    <t>21. Other*</t>
  </si>
  <si>
    <t>23. EB Health Promotion*</t>
  </si>
  <si>
    <t>*Enter fiscal data on III-B Other</t>
  </si>
  <si>
    <t>Services tab.</t>
  </si>
  <si>
    <t>Check (X) the corresponding box if the following services are being provided by other Title III funding or</t>
  </si>
  <si>
    <t>another agency/organization within the county/tribe in which you are not providing any Title III funding towards.</t>
  </si>
  <si>
    <t>Access to Services (7, 10, 11, 14, or 15)</t>
  </si>
  <si>
    <t>In Home Services (2, 3, or 4)</t>
  </si>
  <si>
    <t>Remaining Budget Balance</t>
  </si>
  <si>
    <t>Percent of Access to Services (6%)</t>
  </si>
  <si>
    <t>Percent of Legal/Ben. Assist. (5%)</t>
  </si>
  <si>
    <t>Percent of In-Home Services (7%)</t>
  </si>
  <si>
    <t>Total Non-Federal Match</t>
  </si>
  <si>
    <t>Match Amount Needed</t>
  </si>
  <si>
    <t>This applies to current YTD expenditures only.</t>
  </si>
  <si>
    <t>Please see the III-B - #11618 Tab</t>
  </si>
  <si>
    <t>Title III-B "Other" Supportive Services</t>
  </si>
  <si>
    <t>16. Public Information</t>
  </si>
  <si>
    <t>17c. Counseling</t>
  </si>
  <si>
    <t>17t. Training</t>
  </si>
  <si>
    <t>18. Temporary Respite</t>
  </si>
  <si>
    <t>19. Medication Management</t>
  </si>
  <si>
    <t>20. Advoc./Lead.Devel.</t>
  </si>
  <si>
    <t>21. Insurance / Benefits</t>
  </si>
  <si>
    <t>23a. Health Promotion (EB Program)*</t>
  </si>
  <si>
    <t>23b. Health Promotion (Activity)</t>
  </si>
  <si>
    <t>24. Assistive Devices / Technology</t>
  </si>
  <si>
    <t>33. Consumable Supplies</t>
  </si>
  <si>
    <t>38. Home Repair &amp; Modifications</t>
  </si>
  <si>
    <t>40. Home Security and Safety</t>
  </si>
  <si>
    <t>42. Recreation / Socialization</t>
  </si>
  <si>
    <t>48. Support Groups</t>
  </si>
  <si>
    <t>50. Visiting</t>
  </si>
  <si>
    <t>Total not including "*" services already pulled into III-B - #11618 per line item.</t>
  </si>
  <si>
    <t>Verification Overall Total</t>
  </si>
  <si>
    <t>Form #CM110 (11/02)</t>
  </si>
  <si>
    <t>CARS No:   560350</t>
  </si>
  <si>
    <t xml:space="preserve">CFDA No:  93.045  </t>
  </si>
  <si>
    <t>State ID No:  '435.560350</t>
  </si>
  <si>
    <t>Title III-C1 Expenditures this Month</t>
  </si>
  <si>
    <t>Title III-C1 Expenditures YTD</t>
  </si>
  <si>
    <t>10. Assisted Transpo.</t>
  </si>
  <si>
    <t>11. Transportation</t>
  </si>
  <si>
    <t>21. Other</t>
  </si>
  <si>
    <t>23. EB Health Promotion</t>
  </si>
  <si>
    <t>Form #HD120 (11/02)</t>
  </si>
  <si>
    <t>CARS No:   560360</t>
  </si>
  <si>
    <t>CFDA No:  93.045</t>
  </si>
  <si>
    <t>State ID:  435.560360</t>
  </si>
  <si>
    <t>Title III-C2 Expenditures this Month</t>
  </si>
  <si>
    <t>Title III-C2 Expenditures YTD</t>
  </si>
  <si>
    <t>Form #NSIP105 (11/02)</t>
  </si>
  <si>
    <t>CARS No: 560422</t>
  </si>
  <si>
    <t>CFDA No:  93.053</t>
  </si>
  <si>
    <t>NSIP 10/1/17-9/30/18 - #13218</t>
  </si>
  <si>
    <t>NSIP Expenditures this Month</t>
  </si>
  <si>
    <t>NSIP
Expenditures YTD</t>
  </si>
  <si>
    <t>CFDA No: 93.053</t>
  </si>
  <si>
    <t>NSIP 10/1/18-9/30/19 - #13219</t>
  </si>
  <si>
    <t>Form #PH130 (05/02)</t>
  </si>
  <si>
    <t>CARS No:   560510</t>
  </si>
  <si>
    <t>CFDA No:  93.043</t>
  </si>
  <si>
    <t>Title III-D Expenditures this Month</t>
  </si>
  <si>
    <t>Title III-D Expenditures YTD</t>
  </si>
  <si>
    <t>Form #NFCSP140 (05/02)</t>
  </si>
  <si>
    <t>CARS No:   560520</t>
  </si>
  <si>
    <t>CFDA No:  93.052</t>
  </si>
  <si>
    <t>Title III-E Expenditures this Month</t>
  </si>
  <si>
    <t>Title III-E Expenditures YTD</t>
  </si>
  <si>
    <t>Section A:  Caring for Recipients 60 and older and Early-Onset Dementia 19-59</t>
  </si>
  <si>
    <t>64. Case Management (a)</t>
  </si>
  <si>
    <t>6501. Caregiver Counseling (a)</t>
  </si>
  <si>
    <t>6502. Caregiver Training (a)</t>
  </si>
  <si>
    <t>6503. Caregiver Support Group (a)</t>
  </si>
  <si>
    <t>66a. Respite Care - In Home (a)</t>
  </si>
  <si>
    <t>66b. Facility Based - Day (a)</t>
  </si>
  <si>
    <t>66c. Facility Based - Overnight (a)</t>
  </si>
  <si>
    <t>67. Supplemental Services (a)</t>
  </si>
  <si>
    <t>68. Information Services (a)</t>
  </si>
  <si>
    <t>69. Access Assistance (I&amp;A) (a)</t>
  </si>
  <si>
    <t>Subtotal A</t>
  </si>
  <si>
    <t>Section B:  Caring for Recpients 18 and under and Disabled Recipients 19-59</t>
  </si>
  <si>
    <t>64. Case Management (b)</t>
  </si>
  <si>
    <t>6501. Caregiver Counseling (b)</t>
  </si>
  <si>
    <t>6502. Caregiver Training (b)</t>
  </si>
  <si>
    <t>6503. Caregiver Support Group (b)</t>
  </si>
  <si>
    <t>66a. Respite Care - In Home (b)</t>
  </si>
  <si>
    <t>66b. Facility Based - Day (b)</t>
  </si>
  <si>
    <t>66c. Facility Based - Overnight (b)</t>
  </si>
  <si>
    <t>67. Supplemental Services (b)</t>
  </si>
  <si>
    <t>68. Information Services (b)</t>
  </si>
  <si>
    <t>69. Access Assistance (I&amp;A) (b)</t>
  </si>
  <si>
    <t>Subtotal B</t>
  </si>
  <si>
    <t>Check (X) the corresponding box if the following services are being provided by other Title III funding or another agency/organization within the county</t>
  </si>
  <si>
    <r>
      <t>in which you are not providing any Title III funding towards</t>
    </r>
    <r>
      <rPr>
        <b/>
        <sz val="10"/>
        <rFont val="Arial"/>
        <family val="2"/>
      </rPr>
      <t>.</t>
    </r>
  </si>
  <si>
    <t>Information and Assistance</t>
  </si>
  <si>
    <t>Counseling/Training/Suprt Grp</t>
  </si>
  <si>
    <t>Supplemental Services</t>
  </si>
  <si>
    <t>Info. Services (Pub. Info.)</t>
  </si>
  <si>
    <t>Respite Services</t>
  </si>
  <si>
    <t>Counsleing/Training/Support Grp</t>
  </si>
  <si>
    <t>Info. Services (Publ. Info)</t>
  </si>
  <si>
    <t>Percent of Suppl. Services</t>
  </si>
  <si>
    <t>AFCSP Match Allocated</t>
  </si>
  <si>
    <t>x</t>
  </si>
  <si>
    <t>Form #ALZH190 (05/02)</t>
  </si>
  <si>
    <t>CARS No:   560381</t>
  </si>
  <si>
    <t>State ID:  435.560381</t>
  </si>
  <si>
    <t>State Alzheimer's Family and Caregiver Support Program - #12218 - DO NOT USE (OLD FORM)</t>
  </si>
  <si>
    <t>AFCSP Expenditures this Month</t>
  </si>
  <si>
    <t>Alzheimer's FC Support</t>
  </si>
  <si>
    <t>Enter Match for Title III-E</t>
  </si>
  <si>
    <t>Total Match Expenditures</t>
  </si>
  <si>
    <t>Note:  To avoid duplication of match this will be adjusted on the Summary Page.</t>
  </si>
  <si>
    <t>7500. Administration</t>
  </si>
  <si>
    <t>7502. Adult Day Care</t>
  </si>
  <si>
    <t>7502. General Respite</t>
  </si>
  <si>
    <t>7502. Homemaker/Chores</t>
  </si>
  <si>
    <t>7502. In-Home General Care</t>
  </si>
  <si>
    <t>7502. In-Home Personal Care</t>
  </si>
  <si>
    <t>7502. Overnight Facility Care</t>
  </si>
  <si>
    <t>7504. Other Goods and Services</t>
  </si>
  <si>
    <t>7506. Outreach</t>
  </si>
  <si>
    <t>7508. Public Awareness</t>
  </si>
  <si>
    <t>7510. Support Group</t>
  </si>
  <si>
    <t>IIIE Match</t>
  </si>
  <si>
    <t>Administration Expenses</t>
  </si>
  <si>
    <t>Respite Expenses</t>
  </si>
  <si>
    <t>Other Goods and Services Expenses</t>
  </si>
  <si>
    <t>Outreach/Public Awareness Expenses</t>
  </si>
  <si>
    <t>Support Group Expenses</t>
  </si>
  <si>
    <t>New or Expanded Services Expenses</t>
  </si>
  <si>
    <t>Enter how much of your expenditures above was on new or expanded services.</t>
  </si>
  <si>
    <t>Percent spent on new/expanded svcs</t>
  </si>
  <si>
    <t>Form #SCS150 (05/02)</t>
  </si>
  <si>
    <t>CARS No:   560330</t>
  </si>
  <si>
    <t>State ID:  435.560330</t>
  </si>
  <si>
    <t>State SSCS Expenditures this Month</t>
  </si>
  <si>
    <t>*Enter fiscal data on SCS Other</t>
  </si>
  <si>
    <t>Please see the SCS - #11518 Tab</t>
  </si>
  <si>
    <t>SCS "Other" Supportive Services</t>
  </si>
  <si>
    <t>Total not including "*" services already pulled into SCS - #11518 per line item.</t>
  </si>
  <si>
    <t>Form #EBS160 (07/01)</t>
  </si>
  <si>
    <t>CARS No:   560320</t>
  </si>
  <si>
    <t>CARS No:   560318 LS</t>
  </si>
  <si>
    <t>Note - correct formula if page is used again</t>
  </si>
  <si>
    <t>State Elderly Benefit Services - Original</t>
  </si>
  <si>
    <t>State Elderly Benefit Services Expenditures this Month</t>
  </si>
  <si>
    <t>CARS No:   560023</t>
  </si>
  <si>
    <t>State ID:  435.560320</t>
  </si>
  <si>
    <t>CARS No:   560024</t>
  </si>
  <si>
    <t>CARS No:   560021 Fed Match</t>
  </si>
  <si>
    <t>CFDA No:  93.778 Fed Match</t>
  </si>
  <si>
    <t>State ID:  435.560024</t>
  </si>
  <si>
    <t>Please see the Other-Benefit Spec Replacement Tab</t>
  </si>
  <si>
    <t>Federal Match (1/2 of Monthly Claim)</t>
  </si>
  <si>
    <t>Monthly Exp.</t>
  </si>
  <si>
    <t>YTD Exp.</t>
  </si>
  <si>
    <t>Form #EA165 (05/02)</t>
  </si>
  <si>
    <t>CARS No:   560490</t>
  </si>
  <si>
    <t>State ID:  435.560490</t>
  </si>
  <si>
    <t>State Elder Abuse Services Expenditures this Month</t>
  </si>
  <si>
    <t>Elder Abuse</t>
  </si>
  <si>
    <t>Form #SPAP (12/07)</t>
  </si>
  <si>
    <t>CARS No: 560327</t>
  </si>
  <si>
    <t>State ID:  435.560327</t>
  </si>
  <si>
    <t>State Pharmaceutical Assistance Program - Original 07/01/17-06/30/18 - #13018</t>
  </si>
  <si>
    <t>CARS No: 560030</t>
  </si>
  <si>
    <t>CARS No: 560029 Fed Match</t>
  </si>
  <si>
    <t>Please see the SPAP Tab</t>
  </si>
  <si>
    <t>State Pharmaceutical Assistance Program - I&amp;A Replacement 07/01/17-06/30/18 - #74009 &amp; #75010</t>
  </si>
  <si>
    <t>CARS No: 560031</t>
  </si>
  <si>
    <t>State Pharmaceutical Assistance Program - Other Replacement 07/01/17-06/30/18 - #75009</t>
  </si>
  <si>
    <t>State Pharmaceutical Assistance Program - Original 07/01/18-06/30/19 - #13019</t>
  </si>
  <si>
    <t>SPAP Expenditures this Month</t>
  </si>
  <si>
    <t>State Pharmaceutical Assistance Program - I&amp;A Replacement 07/01/18-06/30/19 - #74009 &amp; #75010</t>
  </si>
  <si>
    <t>State Pharmaceutical Assistance Program - Other Replacement 07/01/18-06/30/19 - #75009</t>
  </si>
  <si>
    <t>Form #SHIP (07/08)</t>
  </si>
  <si>
    <t>CARS No: 560432</t>
  </si>
  <si>
    <t>CFDA No:  93.324</t>
  </si>
  <si>
    <t>State Health Insurance Assistance Program - Original - 4/1/17 - 3/31/18</t>
  </si>
  <si>
    <t>State Health Insurance Assistance Program - Original 4/1/18 - 3/31/19</t>
  </si>
  <si>
    <t>SHIP Expenditures this Month</t>
  </si>
  <si>
    <t>Form #MIPPA</t>
  </si>
  <si>
    <t>CARS No:  560620</t>
  </si>
  <si>
    <t>CFDA No:  93.071</t>
  </si>
  <si>
    <t>MIPPA 10/1/17 - 9/30/18 - #75018</t>
  </si>
  <si>
    <t>* Use this form for other contract expenses, such as DOT - this is not a required form but will be added to your overall Summary.  THIS IS NOT FOR ANY TITLE III REPORTING!</t>
  </si>
  <si>
    <t>Other Expenditures</t>
  </si>
  <si>
    <t>Title III Expenditures this Month</t>
  </si>
  <si>
    <t>Title III Expenditures YTD</t>
  </si>
  <si>
    <t>*Enter fiscal data on Other</t>
  </si>
  <si>
    <t>Services (2) tab.</t>
  </si>
  <si>
    <t>Please see the Other Tab</t>
  </si>
  <si>
    <t>Other Service Expenditures</t>
  </si>
  <si>
    <t>Total not including "*" services already pulled into Other per line item.</t>
  </si>
  <si>
    <t>MIPPA 10/1/18 - 9/30/19 - #75019</t>
  </si>
  <si>
    <t>MIPPA Expenditures this Month</t>
  </si>
  <si>
    <t>Summary Expenditures</t>
  </si>
  <si>
    <t>Federal/State
Expenses</t>
  </si>
  <si>
    <t>Cash
Match
Expenses</t>
  </si>
  <si>
    <t>In-Kind
Match
Expenses</t>
  </si>
  <si>
    <t>Other
Federal
Expenses</t>
  </si>
  <si>
    <t>Other
State
Expenses</t>
  </si>
  <si>
    <t>Other
Local
Expenses</t>
  </si>
  <si>
    <t>Current Year Program
Income
Expenses</t>
  </si>
  <si>
    <t>Prior
Year
Program
Income
Expenses</t>
  </si>
  <si>
    <t>Total
Expenses</t>
  </si>
  <si>
    <t>Caregiver Services</t>
  </si>
  <si>
    <t>64. Case Management</t>
  </si>
  <si>
    <t>6501. Caregiver Counseling</t>
  </si>
  <si>
    <t>6502. Caregiver Training</t>
  </si>
  <si>
    <t>6503. Caregiver Support Group</t>
  </si>
  <si>
    <t>66a. Respite Care - In Home</t>
  </si>
  <si>
    <t>66b. Facility Based - Day</t>
  </si>
  <si>
    <t>66c. Facility Based - Overnight</t>
  </si>
  <si>
    <t>67. Supplemental Services</t>
  </si>
  <si>
    <t>68. Information Services</t>
  </si>
  <si>
    <t>69. Access Assistance (I&amp;A)</t>
  </si>
  <si>
    <t>AFCSP Adjustment</t>
  </si>
  <si>
    <t>Wisconsin Aging Financial Reports</t>
  </si>
  <si>
    <t>Fiscal Report</t>
  </si>
  <si>
    <t>Form #FR180A</t>
  </si>
  <si>
    <t>Name of Area Agency on Aging</t>
  </si>
  <si>
    <t>180A Deadlines</t>
  </si>
  <si>
    <t>180B Deadlines</t>
  </si>
  <si>
    <t>October - December … due by April 20th</t>
  </si>
  <si>
    <t>October - March … due by May 31st</t>
  </si>
  <si>
    <t>Contract Period</t>
  </si>
  <si>
    <r>
      <t>January – March …due by April 20</t>
    </r>
    <r>
      <rPr>
        <b/>
        <vertAlign val="superscript"/>
        <sz val="10"/>
        <rFont val="Arial"/>
        <family val="2"/>
      </rPr>
      <t>th</t>
    </r>
  </si>
  <si>
    <t>October - September … due by November 30th</t>
  </si>
  <si>
    <r>
      <t>April – June….due by July 20</t>
    </r>
    <r>
      <rPr>
        <b/>
        <vertAlign val="superscript"/>
        <sz val="10"/>
        <rFont val="Arial"/>
        <family val="2"/>
      </rPr>
      <t>th</t>
    </r>
  </si>
  <si>
    <r>
      <t>July – September…due by October 20</t>
    </r>
    <r>
      <rPr>
        <b/>
        <vertAlign val="superscript"/>
        <sz val="10"/>
        <rFont val="Arial"/>
        <family val="2"/>
      </rPr>
      <t>th</t>
    </r>
  </si>
  <si>
    <t>Report for the Federal Fiscal Year of:</t>
  </si>
  <si>
    <t>Submit report to Michelle Flood (MichelleL.Flood@wisconsin.gov).</t>
  </si>
  <si>
    <t>AAA</t>
  </si>
  <si>
    <t>Title III-C1</t>
  </si>
  <si>
    <t>Senior Community</t>
  </si>
  <si>
    <t>State</t>
  </si>
  <si>
    <t>Administration</t>
  </si>
  <si>
    <t>Title III-B</t>
  </si>
  <si>
    <t>Title III-C2</t>
  </si>
  <si>
    <t>Title III-D</t>
  </si>
  <si>
    <t>Title III-E</t>
  </si>
  <si>
    <t>Services</t>
  </si>
  <si>
    <t>EBS</t>
  </si>
  <si>
    <t>NSIP</t>
  </si>
  <si>
    <t>Expenditures</t>
  </si>
  <si>
    <t>Expenditure Category</t>
  </si>
  <si>
    <t>Q-T-D</t>
  </si>
  <si>
    <t>Grant Award Expended Q-T-D</t>
  </si>
  <si>
    <t>Cash Match Q-T-D</t>
  </si>
  <si>
    <t>In-Kind Match Q-T-D</t>
  </si>
  <si>
    <t>Match is Sufficient</t>
  </si>
  <si>
    <t>Other Fed. Q-T-D</t>
  </si>
  <si>
    <t>Other State Q-T-D</t>
  </si>
  <si>
    <t>Other Local Q-T-D</t>
  </si>
  <si>
    <t>CY Program Income Earned Q-T-D</t>
  </si>
  <si>
    <t>CY Program Income Expended Q-T-D</t>
  </si>
  <si>
    <t>Prior Year Program Income Expended Q-T-D</t>
  </si>
  <si>
    <t>Total:</t>
  </si>
  <si>
    <t>Under penalty of perjury, I certify the information reported here is true and correct.</t>
  </si>
  <si>
    <t>Name</t>
  </si>
  <si>
    <t xml:space="preserve">I further certify the expenditures reported are accurate summarizations of the </t>
  </si>
  <si>
    <t>Email</t>
  </si>
  <si>
    <t>financial data contained on the county/tribal financial records.</t>
  </si>
  <si>
    <t>Phone</t>
  </si>
  <si>
    <t xml:space="preserve">Title III-B Services </t>
  </si>
  <si>
    <t>Service / Expenditure Category</t>
  </si>
  <si>
    <t xml:space="preserve">Cash
Match
 </t>
  </si>
  <si>
    <t>In-Kind Match</t>
  </si>
  <si>
    <t xml:space="preserve">Other Federal
</t>
  </si>
  <si>
    <t>Other State</t>
  </si>
  <si>
    <t xml:space="preserve">Other Local
</t>
  </si>
  <si>
    <t>Program Income Expended</t>
  </si>
  <si>
    <t>05-Home-Delivered Meals</t>
  </si>
  <si>
    <t>09s-Nutrition Counseling</t>
  </si>
  <si>
    <t xml:space="preserve">10p-Assisted Transportation
   </t>
  </si>
  <si>
    <t>Legal Services</t>
  </si>
  <si>
    <t>13s-Nutrition Education</t>
  </si>
  <si>
    <t>23a-Health Promotion - Evidence-Based</t>
  </si>
  <si>
    <t>23b-Health Promotion - Non-Evidence-Based</t>
  </si>
  <si>
    <t>15s-Outreach</t>
  </si>
  <si>
    <t>16a-Public Information</t>
  </si>
  <si>
    <t>19s-Medication Management</t>
  </si>
  <si>
    <t>21s-Insurance/Benefits</t>
  </si>
  <si>
    <t>31-Volunteer Guardianship</t>
  </si>
  <si>
    <t>42c-Recreation/ Socialization</t>
  </si>
  <si>
    <t>50-Visiting</t>
  </si>
  <si>
    <t>66a-Respite Care, In Home</t>
  </si>
  <si>
    <t>66b-Respite Care, Facility Based Day</t>
  </si>
  <si>
    <t>66c-Respite Care, Facility Based Overnight</t>
  </si>
  <si>
    <t>Information &amp; Assistance (Access Assistance)</t>
  </si>
  <si>
    <t>Admin Verification</t>
  </si>
  <si>
    <t xml:space="preserve">Title III-C1 Services </t>
  </si>
  <si>
    <t>III-C1</t>
  </si>
  <si>
    <t>Even Yr</t>
  </si>
  <si>
    <t>Odd Yr</t>
  </si>
  <si>
    <t xml:space="preserve">Title III-C2 Services </t>
  </si>
  <si>
    <t>III-C2</t>
  </si>
  <si>
    <t xml:space="preserve">Title III-D Services </t>
  </si>
  <si>
    <t>Title III-E - Caregivers Serving Elderly Individuals</t>
  </si>
  <si>
    <t>Title III-E - Grandparents and Other Elderly Caregivers Serving Children and Disabled</t>
  </si>
  <si>
    <t>SECTION II. Utilization and Expenditure Profiles</t>
  </si>
  <si>
    <t>A. Title III Utilization, Expenditure, and Program Income Received Profile (Except Title III-E)</t>
  </si>
  <si>
    <t>For
Selected Services</t>
  </si>
  <si>
    <t>Title III
&amp;
NSIP
Expenditures</t>
  </si>
  <si>
    <t>Total Service Expenditures</t>
  </si>
  <si>
    <t>Program
Income
Expenditures</t>
  </si>
  <si>
    <t>OAA 
Title III Expen-
ditures ($) Part B</t>
  </si>
  <si>
    <t>OAA 
Title III Expen-
ditures ($) Part C1*</t>
  </si>
  <si>
    <t>OAA 
Title III Expen-
ditures ($) Part C2**</t>
  </si>
  <si>
    <t>OAA 
Title III Expen-
ditures ($) Part D</t>
  </si>
  <si>
    <t>1. Personal Care</t>
  </si>
  <si>
    <t>2. Homemaker</t>
  </si>
  <si>
    <t>3. Chore</t>
  </si>
  <si>
    <t>4. Home Delivered
    Meals</t>
  </si>
  <si>
    <t xml:space="preserve">   4a. NSIP Home Delivered Meals
         </t>
  </si>
  <si>
    <t>5. Adult Day Care/Health
    Care/Health</t>
  </si>
  <si>
    <t>6. Case Management</t>
  </si>
  <si>
    <t xml:space="preserve">7. Assisted Transporation
   </t>
  </si>
  <si>
    <t>8. Congregate Meals</t>
  </si>
  <si>
    <t xml:space="preserve">   8a. NSIP Congregate Meals</t>
  </si>
  <si>
    <t>9. Nutrition Counseling</t>
  </si>
  <si>
    <t>Title III
Expenditures</t>
  </si>
  <si>
    <t>10. Transportation</t>
  </si>
  <si>
    <t>11. Legal Assistance</t>
  </si>
  <si>
    <t>12. Nutrition Education</t>
  </si>
  <si>
    <t>13. Information and Assistance
      Assistance</t>
  </si>
  <si>
    <t>14. Outreach</t>
  </si>
  <si>
    <t>15. Other Services</t>
  </si>
  <si>
    <t>16. Health Promotion and 
Disease Prevention</t>
  </si>
  <si>
    <t>17. Self-Directed Care***</t>
  </si>
  <si>
    <t>Total (Unduplicated)</t>
  </si>
  <si>
    <t>Service 15 matched SRT Other Tab</t>
  </si>
  <si>
    <t>B. Title III-E Utilization, Expenditure, and Program Income Profile for Caregivers Serving Elderly Individuals</t>
  </si>
  <si>
    <t>Caregiver Support Categories:</t>
  </si>
  <si>
    <t xml:space="preserve">Title III-E Expenditures (Federal $)
</t>
  </si>
  <si>
    <t xml:space="preserve">Total Service Expenditures (All Sources)
</t>
  </si>
  <si>
    <t>Program Income Expenditures</t>
  </si>
  <si>
    <t>Group 1</t>
  </si>
  <si>
    <t xml:space="preserve">1. Counseling/Support Groups/                                   Caregiver Training
    </t>
  </si>
  <si>
    <t>2. Respite Care</t>
  </si>
  <si>
    <t>3. Supplemental Services</t>
  </si>
  <si>
    <t>4. Self-Directed Care*</t>
  </si>
  <si>
    <t>Group 2</t>
  </si>
  <si>
    <t>5. Access Assistance</t>
  </si>
  <si>
    <t>6. Information Services</t>
  </si>
  <si>
    <t>Totals (unduplicated)</t>
  </si>
  <si>
    <t>C. Title III-E Utilization, Expenditure, and Program Income Received Profile for Grandparents and Other Elderly Caregivers    Serving Children</t>
  </si>
  <si>
    <t xml:space="preserve">1. Counseling/Support Groups/                                   Caregivers Training
  </t>
  </si>
  <si>
    <t>SECTION II. Utilization and Expenditures Profiles</t>
  </si>
  <si>
    <t>E. Other Services Profile</t>
  </si>
  <si>
    <t xml:space="preserve">Service Name
(Up to 50 Characters)
</t>
  </si>
  <si>
    <t>OAA
Service Expenditure Amount</t>
  </si>
  <si>
    <t>Total Service Expenditure Amount</t>
  </si>
  <si>
    <t>Title III-B Supportive Services - #11619</t>
  </si>
  <si>
    <t>Title III-C1 Congregate Meals - #12019</t>
  </si>
  <si>
    <t>Title III-C2 Home Delivered Meals - #12119</t>
  </si>
  <si>
    <t>Title III-D Disease Prevention and Health Promotion Services - #12419 - Evidence Based Program Only</t>
  </si>
  <si>
    <t>Title III-E Family Caregiver Support Program - #12519</t>
  </si>
  <si>
    <t>State Alzheimer's Family and Caregiver Support Program - #12219 (rev 01/01/19)</t>
  </si>
  <si>
    <t>State Senior Community Services - #11519</t>
  </si>
  <si>
    <t>State Elderly Benefit Services - Other Replacement - #73019</t>
  </si>
  <si>
    <t>Updated GL numbers for 2019 - reminder to do this every year when contract numbers change</t>
  </si>
  <si>
    <t>State Elderly Benefit Services - I&amp;A Replacement - #72019</t>
  </si>
  <si>
    <t>State Elder Abuse Direct Services - #12319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</si>
</sst>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_);[Red]&quot;($&quot;#,##0\)"/>
    <numFmt numFmtId="166" formatCode="&quot;$&quot;#,##0"/>
    <numFmt numFmtId="167" formatCode="_(&quot;$&quot;* #,##0_);_(&quot;$&quot;* \(#,##0\);_(&quot;$&quot;* &quot;-&quot;??_);_(@_)"/>
    <numFmt numFmtId="168" formatCode="_(* #,##0_);_(* \(#,##0\);_(* &quot;-&quot;??_);_(@_)"/>
    <numFmt numFmtId="169" formatCode="0.0%"/>
    <numFmt numFmtId="170" formatCode="_(&quot;$&quot;* #,##0.00_);_(&quot;$&quot;* \(#,##0.00\);_(&quot;$&quot;* &quot;-&quot;_);_(@_)"/>
    <numFmt numFmtId="171" formatCode="mmmm\ d\,\ yyyy"/>
    <numFmt numFmtId="172" formatCode="[$$-409]#,##0.00_);\([$$-409]#,##0.00\)"/>
  </numFmts>
  <fonts count="59">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2"/>
      <name val="Arial"/>
      <family val="2"/>
    </font>
    <font>
      <sz val="10"/>
      <color indexed="10"/>
      <name val="Arial"/>
      <family val="2"/>
    </font>
    <font>
      <b/>
      <sz val="10"/>
      <name val="Arial"/>
      <family val="2"/>
    </font>
    <font>
      <sz val="10"/>
      <name val="Arial"/>
      <family val="2"/>
    </font>
    <font>
      <sz val="12"/>
      <color indexed="8"/>
      <name val="Arial"/>
      <family val="2"/>
    </font>
    <font>
      <sz val="10"/>
      <name val="Arial"/>
      <family val="2"/>
    </font>
    <font>
      <b/>
      <sz val="16"/>
      <name val="Arial"/>
      <family val="2"/>
    </font>
    <font>
      <sz val="12"/>
      <name val="Times New Roman"/>
      <family val="1"/>
    </font>
    <font>
      <b/>
      <sz val="12"/>
      <name val="Times New Roman"/>
      <family val="1"/>
    </font>
    <font>
      <sz val="12"/>
      <name val="Courier"/>
      <family val="3"/>
    </font>
    <font>
      <b/>
      <sz val="12"/>
      <color indexed="8"/>
      <name val="Times New Roman"/>
      <family val="1"/>
    </font>
    <font>
      <sz val="12"/>
      <color indexed="8"/>
      <name val="Times New Roman"/>
      <family val="1"/>
    </font>
    <font>
      <b/>
      <u/>
      <sz val="12"/>
      <name val="Arial"/>
      <family val="2"/>
    </font>
    <font>
      <sz val="10"/>
      <name val="Arial"/>
      <family val="2"/>
    </font>
    <font>
      <u/>
      <sz val="12"/>
      <name val="Arial"/>
      <family val="2"/>
    </font>
    <font>
      <b/>
      <u/>
      <sz val="10"/>
      <name val="Arial"/>
      <family val="2"/>
    </font>
    <font>
      <sz val="12"/>
      <color theme="1"/>
      <name val="Times New Roman"/>
      <family val="2"/>
    </font>
    <font>
      <u/>
      <sz val="10"/>
      <color theme="10"/>
      <name val="Arial"/>
      <family val="2"/>
    </font>
    <font>
      <sz val="10"/>
      <color theme="0"/>
      <name val="Arial"/>
      <family val="2"/>
    </font>
    <font>
      <b/>
      <u/>
      <sz val="10"/>
      <color theme="10"/>
      <name val="Arial"/>
      <family val="2"/>
    </font>
    <font>
      <sz val="12"/>
      <color theme="0"/>
      <name val="Arial"/>
      <family val="2"/>
    </font>
    <font>
      <sz val="12"/>
      <color rgb="FFFF0000"/>
      <name val="Arial"/>
      <family val="2"/>
    </font>
    <font>
      <b/>
      <sz val="12"/>
      <color theme="0"/>
      <name val="Arial"/>
      <family val="2"/>
    </font>
    <font>
      <b/>
      <sz val="10"/>
      <color theme="1"/>
      <name val="Arial"/>
      <family val="2"/>
    </font>
    <font>
      <b/>
      <sz val="10"/>
      <color theme="0"/>
      <name val="Arial"/>
      <family val="2"/>
    </font>
    <font>
      <b/>
      <sz val="10"/>
      <color rgb="FF333333"/>
      <name val="Arial"/>
      <family val="2"/>
    </font>
    <font>
      <b/>
      <sz val="11"/>
      <color theme="1"/>
      <name val="Calibri"/>
      <family val="2"/>
      <scheme val="minor"/>
    </font>
    <font>
      <sz val="11"/>
      <color theme="0"/>
      <name val="Segoe UI"/>
      <family val="2"/>
    </font>
    <font>
      <sz val="10"/>
      <color theme="0" tint="-0.34998626667073579"/>
      <name val="Arial"/>
      <family val="2"/>
    </font>
    <font>
      <sz val="10"/>
      <color theme="0" tint="-0.499984740745262"/>
      <name val="Arial"/>
      <family val="2"/>
    </font>
    <font>
      <b/>
      <sz val="10"/>
      <color rgb="FFFF0000"/>
      <name val="Arial"/>
      <family val="2"/>
    </font>
    <font>
      <sz val="18"/>
      <name val="Arial"/>
      <family val="2"/>
    </font>
    <font>
      <u/>
      <sz val="18"/>
      <color theme="10"/>
      <name val="Arial"/>
      <family val="2"/>
    </font>
    <font>
      <sz val="14"/>
      <name val="Courier New"/>
      <family val="3"/>
    </font>
    <font>
      <sz val="14"/>
      <color theme="0"/>
      <name val="Courier New"/>
      <family val="3"/>
    </font>
    <font>
      <b/>
      <sz val="18"/>
      <name val="Arial"/>
      <family val="2"/>
    </font>
    <font>
      <b/>
      <sz val="10"/>
      <color indexed="8"/>
      <name val="Arial"/>
      <family val="2"/>
    </font>
    <font>
      <sz val="10"/>
      <color indexed="8"/>
      <name val="Arial"/>
      <family val="2"/>
    </font>
    <font>
      <sz val="10"/>
      <color theme="1"/>
      <name val="Arial"/>
      <family val="2"/>
    </font>
    <font>
      <sz val="10"/>
      <name val="Geneva"/>
    </font>
    <font>
      <b/>
      <vertAlign val="superscript"/>
      <sz val="10"/>
      <name val="Arial"/>
      <family val="2"/>
    </font>
    <font>
      <sz val="10"/>
      <name val="Calibri"/>
      <family val="2"/>
    </font>
    <font>
      <b/>
      <sz val="11.5"/>
      <color indexed="8"/>
      <name val="Times New Roman"/>
      <family val="1"/>
    </font>
    <font>
      <sz val="9.5"/>
      <color indexed="8"/>
      <name val="Arial"/>
      <family val="2"/>
    </font>
    <font>
      <b/>
      <sz val="9.5"/>
      <color indexed="8"/>
      <name val="Arial"/>
      <family val="2"/>
    </font>
    <font>
      <u/>
      <sz val="11"/>
      <color theme="10"/>
      <name val="Calibri"/>
      <family val="2"/>
      <scheme val="minor"/>
    </font>
    <font>
      <b/>
      <sz val="11.5"/>
      <color theme="1"/>
      <name val="Times New Roman"/>
      <family val="1"/>
    </font>
    <font>
      <sz val="9.5"/>
      <color theme="1"/>
      <name val="Arial"/>
      <family val="2"/>
    </font>
    <font>
      <b/>
      <sz val="9.5"/>
      <color theme="1"/>
      <name val="Arial"/>
      <family val="2"/>
    </font>
    <font>
      <u/>
      <sz val="10"/>
      <name val="Arial"/>
      <family val="2"/>
    </font>
    <font>
      <sz val="10"/>
      <color rgb="FF000000"/>
      <name val="Arial"/>
      <family val="2"/>
    </font>
    <font>
      <sz val="11"/>
      <color rgb="FF212121"/>
      <name val="Calibri"/>
      <family val="2"/>
      <scheme val="minor"/>
    </font>
    <font>
      <sz val="11"/>
      <color rgb="FF000000"/>
      <name val="Calibri"/>
      <family val="2"/>
      <scheme val="minor"/>
    </font>
  </fonts>
  <fills count="41">
    <fill>
      <patternFill patternType="none"/>
    </fill>
    <fill>
      <patternFill patternType="gray125"/>
    </fill>
    <fill>
      <patternFill patternType="solid">
        <fgColor indexed="55"/>
        <bgColor indexed="64"/>
      </patternFill>
    </fill>
    <fill>
      <patternFill patternType="solid">
        <fgColor indexed="9"/>
        <bgColor indexed="26"/>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rgb="FF969696"/>
        <bgColor indexed="64"/>
      </patternFill>
    </fill>
    <fill>
      <patternFill patternType="solid">
        <fgColor theme="0"/>
        <bgColor indexed="64"/>
      </patternFill>
    </fill>
    <fill>
      <patternFill patternType="solid">
        <fgColor theme="0" tint="-0.34998626667073579"/>
        <bgColor indexed="64"/>
      </patternFill>
    </fill>
    <fill>
      <patternFill patternType="solid">
        <fgColor theme="0"/>
        <bgColor theme="0"/>
      </patternFill>
    </fill>
    <fill>
      <patternFill patternType="solid">
        <fgColor indexed="13"/>
        <bgColor indexed="64"/>
      </patternFill>
    </fill>
    <fill>
      <patternFill patternType="solid">
        <fgColor indexed="9"/>
      </patternFill>
    </fill>
    <fill>
      <patternFill patternType="solid">
        <fgColor theme="0" tint="-0.499984740745262"/>
        <bgColor indexed="64"/>
      </patternFill>
    </fill>
    <fill>
      <patternFill patternType="solid">
        <fgColor rgb="FF0070C0"/>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indexed="41"/>
        <bgColor indexed="64"/>
      </patternFill>
    </fill>
    <fill>
      <patternFill patternType="solid">
        <fgColor theme="7" tint="0.39997558519241921"/>
        <bgColor indexed="64"/>
      </patternFill>
    </fill>
    <fill>
      <patternFill patternType="solid">
        <fgColor rgb="FF00B050"/>
        <bgColor indexed="64"/>
      </patternFill>
    </fill>
    <fill>
      <patternFill patternType="solid">
        <fgColor theme="2"/>
        <bgColor indexed="64"/>
      </patternFill>
    </fill>
    <fill>
      <patternFill patternType="solid">
        <fgColor rgb="FFD9D9D9"/>
        <bgColor indexed="64"/>
      </patternFill>
    </fill>
    <fill>
      <patternFill patternType="solid">
        <fgColor theme="5" tint="0.399975585192419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8"/>
      </right>
      <top style="thin">
        <color indexed="8"/>
      </top>
      <bottom/>
      <diagonal/>
    </border>
    <border>
      <left style="medium">
        <color indexed="64"/>
      </left>
      <right style="thin">
        <color indexed="8"/>
      </right>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bottom style="double">
        <color indexed="64"/>
      </bottom>
      <diagonal/>
    </border>
    <border>
      <left style="thin">
        <color indexed="64"/>
      </left>
      <right style="thin">
        <color indexed="64"/>
      </right>
      <top/>
      <bottom style="medium">
        <color indexed="64"/>
      </bottom>
      <diagonal/>
    </border>
    <border>
      <left style="double">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s>
  <cellStyleXfs count="67">
    <xf numFmtId="0" fontId="0" fillId="0" borderId="0"/>
    <xf numFmtId="44" fontId="3" fillId="0" borderId="0" applyFont="0" applyFill="0" applyBorder="0" applyAlignment="0" applyProtection="0"/>
    <xf numFmtId="44" fontId="9"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alignment vertical="top"/>
      <protection locked="0"/>
    </xf>
    <xf numFmtId="0" fontId="13" fillId="0" borderId="0"/>
    <xf numFmtId="0" fontId="19" fillId="0" borderId="0"/>
    <xf numFmtId="0" fontId="9" fillId="0" borderId="0"/>
    <xf numFmtId="0" fontId="9" fillId="0" borderId="0"/>
    <xf numFmtId="0" fontId="19" fillId="0" borderId="0"/>
    <xf numFmtId="0" fontId="9" fillId="0" borderId="0"/>
    <xf numFmtId="0" fontId="19" fillId="0" borderId="0"/>
    <xf numFmtId="0" fontId="9" fillId="0" borderId="0"/>
    <xf numFmtId="0" fontId="19" fillId="0" borderId="0"/>
    <xf numFmtId="0" fontId="9" fillId="0" borderId="0"/>
    <xf numFmtId="0" fontId="19" fillId="0" borderId="0"/>
    <xf numFmtId="0" fontId="9" fillId="0" borderId="0"/>
    <xf numFmtId="0" fontId="19" fillId="0" borderId="0"/>
    <xf numFmtId="0" fontId="9" fillId="0" borderId="0"/>
    <xf numFmtId="0" fontId="19" fillId="0" borderId="0"/>
    <xf numFmtId="0" fontId="9" fillId="0" borderId="0"/>
    <xf numFmtId="0" fontId="19" fillId="0" borderId="0"/>
    <xf numFmtId="0" fontId="9" fillId="0" borderId="0"/>
    <xf numFmtId="0" fontId="19" fillId="0" borderId="0"/>
    <xf numFmtId="0" fontId="9" fillId="0" borderId="0"/>
    <xf numFmtId="0" fontId="22" fillId="0" borderId="0"/>
    <xf numFmtId="0" fontId="15" fillId="0" borderId="0"/>
    <xf numFmtId="0" fontId="10" fillId="0" borderId="0"/>
    <xf numFmtId="0" fontId="13" fillId="0" borderId="0"/>
    <xf numFmtId="9" fontId="3" fillId="0" borderId="0" applyFont="0" applyFill="0" applyBorder="0" applyAlignment="0" applyProtection="0"/>
    <xf numFmtId="9" fontId="9"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3" fontId="3" fillId="0" borderId="0" applyFill="0" applyBorder="0" applyAlignment="0" applyProtection="0"/>
    <xf numFmtId="5" fontId="3" fillId="0" borderId="0" applyFill="0" applyBorder="0" applyAlignment="0" applyProtection="0"/>
    <xf numFmtId="171" fontId="3" fillId="0" borderId="0" applyFill="0" applyBorder="0" applyAlignment="0" applyProtection="0"/>
    <xf numFmtId="2" fontId="3" fillId="0" borderId="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3" fillId="0" borderId="71" applyNumberFormat="0" applyFill="0" applyAlignment="0" applyProtection="0"/>
    <xf numFmtId="0" fontId="2" fillId="0" borderId="0"/>
    <xf numFmtId="0" fontId="3" fillId="0" borderId="0"/>
    <xf numFmtId="0" fontId="3" fillId="0" borderId="0"/>
    <xf numFmtId="0" fontId="45" fillId="0" borderId="0"/>
    <xf numFmtId="0" fontId="3" fillId="0" borderId="0"/>
    <xf numFmtId="0" fontId="1" fillId="0" borderId="0"/>
    <xf numFmtId="0" fontId="51" fillId="0" borderId="0"/>
  </cellStyleXfs>
  <cellXfs count="646">
    <xf numFmtId="0" fontId="0" fillId="0" borderId="0" xfId="0"/>
    <xf numFmtId="0" fontId="5" fillId="0" borderId="0" xfId="0" applyFont="1"/>
    <xf numFmtId="0" fontId="6" fillId="0" borderId="0" xfId="0" applyFont="1"/>
    <xf numFmtId="41" fontId="0" fillId="0" borderId="1" xfId="0" applyNumberFormat="1" applyBorder="1" applyProtection="1">
      <protection locked="0"/>
    </xf>
    <xf numFmtId="0" fontId="0" fillId="0" borderId="2" xfId="0" applyBorder="1" applyAlignment="1">
      <alignment wrapText="1"/>
    </xf>
    <xf numFmtId="0" fontId="0" fillId="0" borderId="3" xfId="0" applyBorder="1"/>
    <xf numFmtId="0" fontId="0" fillId="0" borderId="4" xfId="0" applyBorder="1" applyAlignment="1">
      <alignment wrapText="1"/>
    </xf>
    <xf numFmtId="0" fontId="0" fillId="0" borderId="5" xfId="0" applyBorder="1" applyAlignment="1">
      <alignment wrapText="1"/>
    </xf>
    <xf numFmtId="41" fontId="0" fillId="2" borderId="1" xfId="0" applyNumberFormat="1" applyFill="1" applyBorder="1"/>
    <xf numFmtId="0" fontId="8" fillId="0" borderId="6" xfId="0" applyFont="1" applyBorder="1"/>
    <xf numFmtId="41" fontId="8" fillId="0" borderId="7" xfId="0" applyNumberFormat="1" applyFont="1" applyBorder="1"/>
    <xf numFmtId="9" fontId="0" fillId="0" borderId="0" xfId="29" applyFont="1"/>
    <xf numFmtId="41" fontId="0" fillId="0" borderId="0" xfId="0" applyNumberFormat="1"/>
    <xf numFmtId="0" fontId="11" fillId="0" borderId="0" xfId="0" applyFont="1"/>
    <xf numFmtId="0" fontId="0" fillId="0" borderId="9" xfId="0" applyBorder="1"/>
    <xf numFmtId="0" fontId="3" fillId="0" borderId="0" xfId="0" applyFont="1"/>
    <xf numFmtId="167" fontId="8" fillId="0" borderId="0" xfId="1" applyNumberFormat="1" applyFont="1"/>
    <xf numFmtId="0" fontId="8" fillId="0" borderId="0" xfId="0" applyFont="1"/>
    <xf numFmtId="49" fontId="0" fillId="0" borderId="0" xfId="0" applyNumberFormat="1" applyProtection="1">
      <protection locked="0"/>
    </xf>
    <xf numFmtId="0" fontId="0" fillId="0" borderId="0" xfId="0" applyProtection="1">
      <protection locked="0"/>
    </xf>
    <xf numFmtId="9" fontId="3" fillId="0" borderId="0" xfId="29"/>
    <xf numFmtId="41" fontId="0" fillId="0" borderId="1" xfId="0" applyNumberFormat="1" applyBorder="1"/>
    <xf numFmtId="41" fontId="0" fillId="0" borderId="8" xfId="0" applyNumberFormat="1" applyBorder="1"/>
    <xf numFmtId="41" fontId="8" fillId="0" borderId="19" xfId="0" applyNumberFormat="1" applyFont="1" applyBorder="1"/>
    <xf numFmtId="0" fontId="7" fillId="0" borderId="0" xfId="0" applyFont="1" applyAlignment="1">
      <alignment wrapText="1"/>
    </xf>
    <xf numFmtId="0" fontId="7" fillId="0" borderId="0" xfId="0" applyFont="1"/>
    <xf numFmtId="14" fontId="6" fillId="0" borderId="17" xfId="0" applyNumberFormat="1" applyFont="1" applyBorder="1" applyAlignment="1" applyProtection="1">
      <alignment horizontal="center"/>
      <protection locked="0"/>
    </xf>
    <xf numFmtId="14" fontId="0" fillId="0" borderId="21" xfId="0" applyNumberFormat="1" applyBorder="1" applyProtection="1">
      <protection locked="0"/>
    </xf>
    <xf numFmtId="5" fontId="16" fillId="0" borderId="0" xfId="0" applyNumberFormat="1" applyFont="1" applyAlignment="1">
      <alignment horizontal="center"/>
    </xf>
    <xf numFmtId="5" fontId="16" fillId="0" borderId="0" xfId="0" applyNumberFormat="1" applyFont="1"/>
    <xf numFmtId="49" fontId="5" fillId="7" borderId="22" xfId="0" applyNumberFormat="1" applyFont="1" applyFill="1" applyBorder="1" applyAlignment="1" applyProtection="1">
      <alignment horizontal="center"/>
      <protection locked="0"/>
    </xf>
    <xf numFmtId="0" fontId="6" fillId="7" borderId="0" xfId="0" applyFont="1" applyFill="1"/>
    <xf numFmtId="0" fontId="6" fillId="8" borderId="0" xfId="0" applyFont="1" applyFill="1"/>
    <xf numFmtId="0" fontId="6" fillId="8" borderId="0" xfId="0" applyFont="1" applyFill="1" applyAlignment="1">
      <alignment horizontal="right"/>
    </xf>
    <xf numFmtId="0" fontId="6" fillId="9" borderId="0" xfId="0" applyFont="1" applyFill="1"/>
    <xf numFmtId="0" fontId="8" fillId="0" borderId="0" xfId="0" applyFont="1" applyProtection="1">
      <protection locked="0"/>
    </xf>
    <xf numFmtId="0" fontId="6" fillId="0" borderId="27" xfId="1" applyNumberFormat="1" applyFont="1" applyBorder="1" applyAlignment="1">
      <alignment horizontal="center"/>
    </xf>
    <xf numFmtId="0" fontId="6" fillId="0" borderId="30" xfId="1" applyNumberFormat="1" applyFont="1" applyBorder="1" applyAlignment="1">
      <alignment horizontal="center"/>
    </xf>
    <xf numFmtId="166" fontId="6" fillId="0" borderId="1" xfId="27" applyNumberFormat="1" applyFont="1" applyBorder="1"/>
    <xf numFmtId="0" fontId="5" fillId="7" borderId="20" xfId="0" applyFont="1" applyFill="1" applyBorder="1" applyAlignment="1" applyProtection="1">
      <alignment horizontal="center"/>
      <protection locked="0"/>
    </xf>
    <xf numFmtId="5" fontId="16" fillId="0" borderId="1" xfId="0" applyNumberFormat="1" applyFont="1" applyBorder="1"/>
    <xf numFmtId="0" fontId="16" fillId="0" borderId="1" xfId="0" applyFont="1" applyBorder="1" applyAlignment="1">
      <alignment horizontal="center"/>
    </xf>
    <xf numFmtId="5" fontId="16" fillId="0" borderId="1" xfId="0" applyNumberFormat="1" applyFont="1" applyBorder="1" applyAlignment="1">
      <alignment horizontal="left"/>
    </xf>
    <xf numFmtId="5" fontId="16" fillId="8" borderId="1" xfId="0" applyNumberFormat="1" applyFont="1" applyFill="1" applyBorder="1"/>
    <xf numFmtId="5" fontId="16" fillId="11" borderId="0" xfId="0" applyNumberFormat="1" applyFont="1" applyFill="1" applyAlignment="1">
      <alignment horizontal="center"/>
    </xf>
    <xf numFmtId="5" fontId="16" fillId="12" borderId="0" xfId="0" applyNumberFormat="1" applyFont="1" applyFill="1" applyAlignment="1">
      <alignment horizontal="center"/>
    </xf>
    <xf numFmtId="5" fontId="16" fillId="14" borderId="0" xfId="0" applyNumberFormat="1" applyFont="1" applyFill="1" applyAlignment="1">
      <alignment horizontal="center"/>
    </xf>
    <xf numFmtId="5" fontId="16" fillId="15" borderId="0" xfId="0" applyNumberFormat="1" applyFont="1" applyFill="1" applyAlignment="1">
      <alignment horizontal="center"/>
    </xf>
    <xf numFmtId="42" fontId="17" fillId="15" borderId="1" xfId="1" applyNumberFormat="1" applyFont="1" applyFill="1" applyBorder="1" applyAlignment="1">
      <alignment horizontal="right"/>
    </xf>
    <xf numFmtId="5" fontId="16" fillId="8" borderId="0" xfId="0" applyNumberFormat="1" applyFont="1" applyFill="1" applyAlignment="1">
      <alignment horizontal="center"/>
    </xf>
    <xf numFmtId="5" fontId="16" fillId="16" borderId="0" xfId="0" applyNumberFormat="1" applyFont="1" applyFill="1" applyAlignment="1">
      <alignment horizontal="center"/>
    </xf>
    <xf numFmtId="5" fontId="16" fillId="16" borderId="11" xfId="0" applyNumberFormat="1" applyFont="1" applyFill="1" applyBorder="1" applyAlignment="1">
      <alignment horizontal="center"/>
    </xf>
    <xf numFmtId="5" fontId="16" fillId="17" borderId="0" xfId="0" applyNumberFormat="1" applyFont="1" applyFill="1" applyAlignment="1">
      <alignment horizontal="center"/>
    </xf>
    <xf numFmtId="5" fontId="16" fillId="16" borderId="0" xfId="0" applyNumberFormat="1" applyFont="1" applyFill="1"/>
    <xf numFmtId="5" fontId="16" fillId="18" borderId="0" xfId="0" applyNumberFormat="1" applyFont="1" applyFill="1" applyAlignment="1">
      <alignment horizontal="center"/>
    </xf>
    <xf numFmtId="5" fontId="16" fillId="18" borderId="11" xfId="0" applyNumberFormat="1" applyFont="1" applyFill="1" applyBorder="1" applyAlignment="1">
      <alignment horizontal="center"/>
    </xf>
    <xf numFmtId="5" fontId="16" fillId="19" borderId="0" xfId="0" applyNumberFormat="1" applyFont="1" applyFill="1" applyAlignment="1">
      <alignment horizontal="center"/>
    </xf>
    <xf numFmtId="5" fontId="16" fillId="21" borderId="1" xfId="0" applyNumberFormat="1" applyFont="1" applyFill="1" applyBorder="1"/>
    <xf numFmtId="0" fontId="25" fillId="10" borderId="35" xfId="4" applyFont="1" applyFill="1" applyBorder="1" applyAlignment="1" applyProtection="1"/>
    <xf numFmtId="0" fontId="5" fillId="9" borderId="0" xfId="0" applyFont="1" applyFill="1"/>
    <xf numFmtId="42" fontId="17" fillId="16" borderId="25" xfId="0" applyNumberFormat="1" applyFont="1" applyFill="1" applyBorder="1" applyAlignment="1">
      <alignment horizontal="right"/>
    </xf>
    <xf numFmtId="0" fontId="0" fillId="0" borderId="25" xfId="0" applyBorder="1"/>
    <xf numFmtId="0" fontId="24" fillId="0" borderId="0" xfId="0" applyFont="1"/>
    <xf numFmtId="5" fontId="16" fillId="22" borderId="0" xfId="0" applyNumberFormat="1" applyFont="1" applyFill="1" applyAlignment="1">
      <alignment horizontal="center"/>
    </xf>
    <xf numFmtId="0" fontId="5" fillId="8" borderId="0" xfId="0" applyFont="1" applyFill="1"/>
    <xf numFmtId="0" fontId="5" fillId="4" borderId="0" xfId="0" applyFont="1" applyFill="1" applyAlignment="1">
      <alignment vertical="top" wrapText="1"/>
    </xf>
    <xf numFmtId="0" fontId="6" fillId="0" borderId="0" xfId="0" applyFont="1" applyAlignment="1">
      <alignment vertical="top" wrapText="1"/>
    </xf>
    <xf numFmtId="0" fontId="6" fillId="4" borderId="0" xfId="0" applyFont="1" applyFill="1" applyAlignment="1">
      <alignment vertical="top" wrapText="1"/>
    </xf>
    <xf numFmtId="0" fontId="20" fillId="5" borderId="0" xfId="0" applyFont="1" applyFill="1" applyAlignment="1">
      <alignment vertical="top" wrapText="1"/>
    </xf>
    <xf numFmtId="0" fontId="6" fillId="5" borderId="0" xfId="0" applyFont="1" applyFill="1" applyAlignment="1">
      <alignment vertical="top" wrapText="1"/>
    </xf>
    <xf numFmtId="0" fontId="0" fillId="0" borderId="0" xfId="0" applyAlignment="1">
      <alignment vertical="top" wrapText="1"/>
    </xf>
    <xf numFmtId="0" fontId="14" fillId="23" borderId="32" xfId="0" applyFont="1" applyFill="1" applyBorder="1" applyAlignment="1">
      <alignment horizontal="left"/>
    </xf>
    <xf numFmtId="169" fontId="0" fillId="0" borderId="0" xfId="29" applyNumberFormat="1" applyFont="1"/>
    <xf numFmtId="0" fontId="13" fillId="0" borderId="0" xfId="0" applyFont="1"/>
    <xf numFmtId="0" fontId="13" fillId="0" borderId="0" xfId="0" applyFont="1" applyAlignment="1">
      <alignment horizontal="center"/>
    </xf>
    <xf numFmtId="0" fontId="13" fillId="16" borderId="0" xfId="0" applyFont="1" applyFill="1"/>
    <xf numFmtId="42" fontId="13" fillId="0" borderId="0" xfId="0" applyNumberFormat="1" applyFont="1"/>
    <xf numFmtId="0" fontId="13" fillId="18" borderId="0" xfId="0" applyFont="1" applyFill="1"/>
    <xf numFmtId="0" fontId="13" fillId="19" borderId="0" xfId="0" applyFont="1" applyFill="1"/>
    <xf numFmtId="0" fontId="13" fillId="11" borderId="0" xfId="0" applyFont="1" applyFill="1"/>
    <xf numFmtId="0" fontId="13" fillId="12" borderId="0" xfId="0" applyFont="1" applyFill="1"/>
    <xf numFmtId="0" fontId="13" fillId="15" borderId="0" xfId="0" applyFont="1" applyFill="1"/>
    <xf numFmtId="0" fontId="13" fillId="8" borderId="0" xfId="0" applyFont="1" applyFill="1"/>
    <xf numFmtId="0" fontId="13" fillId="17" borderId="0" xfId="0" applyFont="1" applyFill="1"/>
    <xf numFmtId="0" fontId="13" fillId="14" borderId="0" xfId="0" applyFont="1" applyFill="1"/>
    <xf numFmtId="0" fontId="13" fillId="24" borderId="0" xfId="0" applyFont="1" applyFill="1"/>
    <xf numFmtId="0" fontId="13" fillId="9" borderId="0" xfId="0" applyFont="1" applyFill="1"/>
    <xf numFmtId="0" fontId="14" fillId="19" borderId="34" xfId="0" applyFont="1" applyFill="1" applyBorder="1" applyAlignment="1">
      <alignment horizontal="center"/>
    </xf>
    <xf numFmtId="0" fontId="14" fillId="19" borderId="18" xfId="0" applyFont="1" applyFill="1" applyBorder="1" applyAlignment="1">
      <alignment horizontal="center"/>
    </xf>
    <xf numFmtId="42" fontId="13" fillId="19" borderId="25" xfId="1" applyNumberFormat="1" applyFont="1" applyFill="1" applyBorder="1" applyAlignment="1">
      <alignment horizontal="right"/>
    </xf>
    <xf numFmtId="42" fontId="13" fillId="23" borderId="25" xfId="1" applyNumberFormat="1" applyFont="1" applyFill="1" applyBorder="1" applyAlignment="1">
      <alignment horizontal="right"/>
    </xf>
    <xf numFmtId="0" fontId="13" fillId="23" borderId="0" xfId="0" applyFont="1" applyFill="1"/>
    <xf numFmtId="0" fontId="0" fillId="25" borderId="4" xfId="0" applyFill="1" applyBorder="1" applyAlignment="1">
      <alignment wrapText="1"/>
    </xf>
    <xf numFmtId="0" fontId="21" fillId="0" borderId="0" xfId="0" applyFont="1"/>
    <xf numFmtId="170" fontId="17" fillId="11" borderId="1" xfId="1" applyNumberFormat="1" applyFont="1" applyFill="1" applyBorder="1" applyAlignment="1">
      <alignment horizontal="right"/>
    </xf>
    <xf numFmtId="170" fontId="17" fillId="11" borderId="1" xfId="1" applyNumberFormat="1" applyFont="1" applyFill="1" applyBorder="1" applyAlignment="1">
      <alignment horizontal="center"/>
    </xf>
    <xf numFmtId="170" fontId="17" fillId="12" borderId="1" xfId="1" applyNumberFormat="1" applyFont="1" applyFill="1" applyBorder="1" applyAlignment="1">
      <alignment horizontal="right"/>
    </xf>
    <xf numFmtId="170" fontId="17" fillId="8" borderId="1" xfId="1" applyNumberFormat="1" applyFont="1" applyFill="1" applyBorder="1" applyAlignment="1">
      <alignment horizontal="right"/>
    </xf>
    <xf numFmtId="170" fontId="17" fillId="16" borderId="1" xfId="0" applyNumberFormat="1" applyFont="1" applyFill="1" applyBorder="1"/>
    <xf numFmtId="170" fontId="17" fillId="15" borderId="1" xfId="0" applyNumberFormat="1" applyFont="1" applyFill="1" applyBorder="1"/>
    <xf numFmtId="170" fontId="17" fillId="17" borderId="1" xfId="0" applyNumberFormat="1" applyFont="1" applyFill="1" applyBorder="1"/>
    <xf numFmtId="170" fontId="17" fillId="20" borderId="1" xfId="0" applyNumberFormat="1" applyFont="1" applyFill="1" applyBorder="1"/>
    <xf numFmtId="170" fontId="13" fillId="16" borderId="1" xfId="0" applyNumberFormat="1" applyFont="1" applyFill="1" applyBorder="1"/>
    <xf numFmtId="170" fontId="13" fillId="15" borderId="1" xfId="0" applyNumberFormat="1" applyFont="1" applyFill="1" applyBorder="1"/>
    <xf numFmtId="170" fontId="13" fillId="17" borderId="1" xfId="0" applyNumberFormat="1" applyFont="1" applyFill="1" applyBorder="1"/>
    <xf numFmtId="170" fontId="13" fillId="19" borderId="25" xfId="1" applyNumberFormat="1" applyFont="1" applyFill="1" applyBorder="1" applyAlignment="1">
      <alignment horizontal="right"/>
    </xf>
    <xf numFmtId="6" fontId="17" fillId="6" borderId="25" xfId="26" applyNumberFormat="1" applyFont="1" applyFill="1" applyBorder="1" applyAlignment="1">
      <alignment horizontal="right"/>
    </xf>
    <xf numFmtId="5" fontId="17" fillId="6" borderId="25" xfId="0" applyNumberFormat="1" applyFont="1" applyFill="1" applyBorder="1" applyAlignment="1">
      <alignment horizontal="center"/>
    </xf>
    <xf numFmtId="166" fontId="5" fillId="0" borderId="1" xfId="27" applyNumberFormat="1" applyFont="1" applyBorder="1"/>
    <xf numFmtId="0" fontId="5" fillId="0" borderId="30" xfId="1" applyNumberFormat="1" applyFont="1" applyBorder="1" applyAlignment="1">
      <alignment horizontal="center"/>
    </xf>
    <xf numFmtId="0" fontId="5" fillId="0" borderId="29" xfId="27" applyFont="1" applyBorder="1" applyAlignment="1">
      <alignment horizontal="right"/>
    </xf>
    <xf numFmtId="0" fontId="5" fillId="21" borderId="0" xfId="0" applyFont="1" applyFill="1"/>
    <xf numFmtId="0" fontId="5" fillId="10" borderId="0" xfId="0" applyFont="1" applyFill="1"/>
    <xf numFmtId="0" fontId="6" fillId="10" borderId="0" xfId="0" applyFont="1" applyFill="1"/>
    <xf numFmtId="0" fontId="5" fillId="23" borderId="0" xfId="0" applyFont="1" applyFill="1"/>
    <xf numFmtId="0" fontId="27" fillId="0" borderId="0" xfId="0" applyFont="1"/>
    <xf numFmtId="0" fontId="8" fillId="0" borderId="10" xfId="0" applyFont="1" applyBorder="1"/>
    <xf numFmtId="49" fontId="0" fillId="0" borderId="0" xfId="0" applyNumberFormat="1"/>
    <xf numFmtId="0" fontId="7" fillId="0" borderId="0" xfId="7" applyFont="1" applyAlignment="1">
      <alignment wrapText="1"/>
    </xf>
    <xf numFmtId="5" fontId="16" fillId="23" borderId="0" xfId="0" applyNumberFormat="1" applyFont="1" applyFill="1" applyAlignment="1">
      <alignment horizontal="center"/>
    </xf>
    <xf numFmtId="5" fontId="16" fillId="23" borderId="11" xfId="0" applyNumberFormat="1" applyFont="1" applyFill="1" applyBorder="1" applyAlignment="1">
      <alignment horizontal="center"/>
    </xf>
    <xf numFmtId="6" fontId="17" fillId="23" borderId="25" xfId="26" applyNumberFormat="1" applyFont="1" applyFill="1" applyBorder="1" applyAlignment="1">
      <alignment horizontal="right"/>
    </xf>
    <xf numFmtId="5" fontId="17" fillId="23" borderId="25" xfId="0" applyNumberFormat="1" applyFont="1" applyFill="1" applyBorder="1" applyAlignment="1">
      <alignment horizontal="center"/>
    </xf>
    <xf numFmtId="0" fontId="28" fillId="0" borderId="29" xfId="27" applyFont="1" applyBorder="1" applyAlignment="1">
      <alignment horizontal="right"/>
    </xf>
    <xf numFmtId="0" fontId="28" fillId="0" borderId="30" xfId="1" applyNumberFormat="1" applyFont="1" applyBorder="1" applyAlignment="1">
      <alignment horizontal="center"/>
    </xf>
    <xf numFmtId="7" fontId="16" fillId="13" borderId="0" xfId="0" applyNumberFormat="1" applyFont="1" applyFill="1" applyAlignment="1">
      <alignment horizontal="center"/>
    </xf>
    <xf numFmtId="7" fontId="17" fillId="13" borderId="1" xfId="1" applyNumberFormat="1" applyFont="1" applyFill="1" applyBorder="1" applyAlignment="1">
      <alignment horizontal="right"/>
    </xf>
    <xf numFmtId="7" fontId="13" fillId="13" borderId="0" xfId="0" applyNumberFormat="1" applyFont="1" applyFill="1"/>
    <xf numFmtId="0" fontId="24" fillId="26" borderId="0" xfId="0" applyFont="1" applyFill="1"/>
    <xf numFmtId="0" fontId="29" fillId="0" borderId="0" xfId="0" applyFont="1"/>
    <xf numFmtId="49" fontId="3" fillId="0" borderId="0" xfId="0" applyNumberFormat="1" applyFont="1"/>
    <xf numFmtId="49" fontId="5" fillId="0" borderId="0" xfId="0" applyNumberFormat="1" applyFont="1"/>
    <xf numFmtId="166" fontId="5" fillId="26" borderId="1" xfId="27" applyNumberFormat="1" applyFont="1" applyFill="1" applyBorder="1"/>
    <xf numFmtId="0" fontId="3" fillId="0" borderId="3" xfId="0" applyFont="1" applyBorder="1"/>
    <xf numFmtId="166" fontId="26" fillId="0" borderId="1" xfId="27" applyNumberFormat="1" applyFont="1" applyBorder="1"/>
    <xf numFmtId="0" fontId="26" fillId="0" borderId="29" xfId="27" applyFont="1" applyBorder="1" applyAlignment="1">
      <alignment horizontal="right"/>
    </xf>
    <xf numFmtId="0" fontId="26" fillId="0" borderId="30" xfId="1" applyNumberFormat="1" applyFont="1" applyBorder="1" applyAlignment="1">
      <alignment horizontal="center"/>
    </xf>
    <xf numFmtId="166" fontId="28" fillId="26" borderId="1" xfId="27" applyNumberFormat="1" applyFont="1" applyFill="1" applyBorder="1"/>
    <xf numFmtId="0" fontId="6" fillId="0" borderId="29" xfId="27" applyFont="1" applyBorder="1" applyAlignment="1">
      <alignment horizontal="right"/>
    </xf>
    <xf numFmtId="0" fontId="3" fillId="0" borderId="1" xfId="0" applyFont="1" applyBorder="1"/>
    <xf numFmtId="0" fontId="0" fillId="0" borderId="31" xfId="0" applyBorder="1"/>
    <xf numFmtId="0" fontId="3" fillId="0" borderId="25" xfId="0" applyFont="1" applyBorder="1" applyProtection="1">
      <protection locked="0"/>
    </xf>
    <xf numFmtId="0" fontId="3" fillId="0" borderId="49" xfId="0" applyFont="1" applyBorder="1"/>
    <xf numFmtId="0" fontId="0" fillId="0" borderId="49" xfId="0" applyBorder="1"/>
    <xf numFmtId="0" fontId="3" fillId="0" borderId="25" xfId="0" applyFont="1" applyBorder="1"/>
    <xf numFmtId="0" fontId="3" fillId="0" borderId="29" xfId="0" applyFont="1" applyBorder="1"/>
    <xf numFmtId="41" fontId="8" fillId="0" borderId="0" xfId="0" applyNumberFormat="1" applyFont="1"/>
    <xf numFmtId="41" fontId="3" fillId="0" borderId="0" xfId="0" applyNumberFormat="1" applyFont="1"/>
    <xf numFmtId="41" fontId="0" fillId="0" borderId="40" xfId="0" applyNumberFormat="1" applyBorder="1"/>
    <xf numFmtId="5" fontId="16" fillId="29" borderId="1" xfId="0" applyNumberFormat="1" applyFont="1" applyFill="1" applyBorder="1"/>
    <xf numFmtId="6" fontId="17" fillId="13" borderId="1" xfId="1" applyNumberFormat="1" applyFont="1" applyFill="1" applyBorder="1" applyAlignment="1">
      <alignment horizontal="right"/>
    </xf>
    <xf numFmtId="49" fontId="13" fillId="0" borderId="0" xfId="0" applyNumberFormat="1" applyFont="1"/>
    <xf numFmtId="44" fontId="8" fillId="0" borderId="0" xfId="1" applyFont="1"/>
    <xf numFmtId="0" fontId="8" fillId="0" borderId="0" xfId="1" applyNumberFormat="1" applyFont="1" applyAlignment="1">
      <alignment horizontal="center"/>
    </xf>
    <xf numFmtId="0" fontId="3" fillId="0" borderId="50" xfId="0" applyFont="1" applyBorder="1" applyAlignment="1">
      <alignment wrapText="1"/>
    </xf>
    <xf numFmtId="41" fontId="0" fillId="2" borderId="51" xfId="0" applyNumberFormat="1" applyFill="1" applyBorder="1"/>
    <xf numFmtId="0" fontId="8" fillId="0" borderId="0" xfId="0" applyFont="1" applyAlignment="1">
      <alignment horizontal="center"/>
    </xf>
    <xf numFmtId="41" fontId="3" fillId="0" borderId="1" xfId="0" applyNumberFormat="1" applyFont="1" applyBorder="1" applyProtection="1">
      <protection locked="0"/>
    </xf>
    <xf numFmtId="41" fontId="3" fillId="2" borderId="51" xfId="0" applyNumberFormat="1" applyFont="1" applyFill="1" applyBorder="1"/>
    <xf numFmtId="169" fontId="3" fillId="0" borderId="0" xfId="29" applyNumberFormat="1"/>
    <xf numFmtId="0" fontId="3" fillId="0" borderId="47" xfId="0" applyFont="1" applyBorder="1"/>
    <xf numFmtId="0" fontId="3" fillId="0" borderId="34" xfId="0" applyFont="1" applyBorder="1"/>
    <xf numFmtId="0" fontId="3" fillId="0" borderId="18" xfId="0" applyFont="1" applyBorder="1"/>
    <xf numFmtId="0" fontId="3" fillId="0" borderId="52" xfId="0" applyFont="1" applyBorder="1" applyProtection="1">
      <protection locked="0"/>
    </xf>
    <xf numFmtId="0" fontId="3" fillId="0" borderId="52" xfId="0" applyFont="1" applyBorder="1"/>
    <xf numFmtId="0" fontId="3" fillId="0" borderId="10" xfId="0" applyFont="1" applyBorder="1"/>
    <xf numFmtId="0" fontId="8" fillId="26" borderId="0" xfId="0" applyFont="1" applyFill="1"/>
    <xf numFmtId="0" fontId="30" fillId="0" borderId="0" xfId="0" applyFont="1"/>
    <xf numFmtId="41" fontId="30" fillId="26" borderId="0" xfId="0" applyNumberFormat="1" applyFont="1" applyFill="1"/>
    <xf numFmtId="49" fontId="24" fillId="0" borderId="0" xfId="0" applyNumberFormat="1" applyFont="1"/>
    <xf numFmtId="41" fontId="3" fillId="0" borderId="51" xfId="0" applyNumberFormat="1" applyFont="1" applyBorder="1"/>
    <xf numFmtId="0" fontId="31" fillId="0" borderId="0" xfId="0" applyFont="1" applyAlignment="1">
      <alignment horizontal="left" vertical="center" readingOrder="1"/>
    </xf>
    <xf numFmtId="41" fontId="3" fillId="0" borderId="33" xfId="0" applyNumberFormat="1" applyFont="1" applyBorder="1"/>
    <xf numFmtId="41" fontId="3" fillId="0" borderId="36" xfId="0" applyNumberFormat="1" applyFont="1" applyBorder="1"/>
    <xf numFmtId="41" fontId="3" fillId="0" borderId="35" xfId="0" applyNumberFormat="1" applyFont="1" applyBorder="1"/>
    <xf numFmtId="41" fontId="3" fillId="0" borderId="11" xfId="0" applyNumberFormat="1" applyFont="1" applyBorder="1"/>
    <xf numFmtId="41" fontId="3" fillId="0" borderId="18" xfId="0" applyNumberFormat="1" applyFont="1" applyBorder="1"/>
    <xf numFmtId="41" fontId="0" fillId="0" borderId="29" xfId="0" applyNumberFormat="1" applyBorder="1" applyProtection="1">
      <protection locked="0"/>
    </xf>
    <xf numFmtId="0" fontId="0" fillId="0" borderId="54" xfId="0" applyBorder="1" applyAlignment="1">
      <alignment wrapText="1"/>
    </xf>
    <xf numFmtId="0" fontId="0" fillId="0" borderId="55" xfId="0" applyBorder="1" applyAlignment="1">
      <alignment wrapText="1"/>
    </xf>
    <xf numFmtId="0" fontId="0" fillId="8" borderId="55" xfId="0" applyFill="1" applyBorder="1" applyAlignment="1">
      <alignment wrapText="1"/>
    </xf>
    <xf numFmtId="0" fontId="3" fillId="0" borderId="56" xfId="0" applyFont="1" applyBorder="1"/>
    <xf numFmtId="0" fontId="0" fillId="0" borderId="56" xfId="0" applyBorder="1"/>
    <xf numFmtId="0" fontId="24" fillId="0" borderId="56" xfId="0" quotePrefix="1" applyFont="1" applyBorder="1"/>
    <xf numFmtId="0" fontId="0" fillId="0" borderId="58" xfId="0" applyBorder="1"/>
    <xf numFmtId="0" fontId="0" fillId="0" borderId="61" xfId="0" applyBorder="1"/>
    <xf numFmtId="41" fontId="3" fillId="0" borderId="53" xfId="0" applyNumberFormat="1" applyFont="1" applyBorder="1"/>
    <xf numFmtId="0" fontId="3" fillId="0" borderId="54" xfId="0" applyFont="1" applyBorder="1" applyAlignment="1">
      <alignment wrapText="1"/>
    </xf>
    <xf numFmtId="0" fontId="3" fillId="0" borderId="55" xfId="0" applyFont="1" applyBorder="1" applyAlignment="1">
      <alignment wrapText="1"/>
    </xf>
    <xf numFmtId="0" fontId="3" fillId="8" borderId="55" xfId="0" applyFont="1" applyFill="1" applyBorder="1" applyAlignment="1">
      <alignment wrapText="1"/>
    </xf>
    <xf numFmtId="0" fontId="3" fillId="0" borderId="26" xfId="0" applyFont="1" applyBorder="1" applyAlignment="1">
      <alignment wrapText="1"/>
    </xf>
    <xf numFmtId="0" fontId="3" fillId="0" borderId="58" xfId="0" applyFont="1" applyBorder="1"/>
    <xf numFmtId="0" fontId="3" fillId="0" borderId="61" xfId="0" applyFont="1" applyBorder="1"/>
    <xf numFmtId="0" fontId="8" fillId="0" borderId="59" xfId="0" applyFont="1" applyBorder="1"/>
    <xf numFmtId="41" fontId="8" fillId="0" borderId="40" xfId="0" applyNumberFormat="1" applyFont="1" applyBorder="1"/>
    <xf numFmtId="41" fontId="0" fillId="2" borderId="29" xfId="0" applyNumberFormat="1" applyFill="1" applyBorder="1"/>
    <xf numFmtId="5" fontId="16" fillId="10" borderId="1" xfId="0" applyNumberFormat="1" applyFont="1" applyFill="1" applyBorder="1"/>
    <xf numFmtId="166" fontId="6" fillId="26" borderId="1" xfId="27" applyNumberFormat="1" applyFont="1" applyFill="1" applyBorder="1"/>
    <xf numFmtId="0" fontId="3" fillId="9" borderId="58" xfId="0" applyFont="1" applyFill="1" applyBorder="1"/>
    <xf numFmtId="0" fontId="3" fillId="9" borderId="56" xfId="0" applyFont="1" applyFill="1" applyBorder="1"/>
    <xf numFmtId="0" fontId="3" fillId="9" borderId="41" xfId="0" applyFont="1" applyFill="1" applyBorder="1"/>
    <xf numFmtId="41" fontId="0" fillId="0" borderId="36" xfId="0" applyNumberFormat="1" applyBorder="1"/>
    <xf numFmtId="0" fontId="0" fillId="0" borderId="36" xfId="0" applyBorder="1"/>
    <xf numFmtId="41" fontId="0" fillId="0" borderId="11" xfId="0" applyNumberFormat="1" applyBorder="1"/>
    <xf numFmtId="0" fontId="0" fillId="0" borderId="11" xfId="0" applyBorder="1"/>
    <xf numFmtId="9" fontId="0" fillId="0" borderId="0" xfId="0" applyNumberFormat="1"/>
    <xf numFmtId="41" fontId="4" fillId="0" borderId="36" xfId="0" applyNumberFormat="1" applyFont="1" applyBorder="1"/>
    <xf numFmtId="0" fontId="0" fillId="0" borderId="34" xfId="0" applyBorder="1"/>
    <xf numFmtId="0" fontId="0" fillId="0" borderId="18" xfId="0" applyBorder="1"/>
    <xf numFmtId="0" fontId="3" fillId="0" borderId="69" xfId="0" applyFont="1" applyBorder="1" applyAlignment="1">
      <alignment wrapText="1"/>
    </xf>
    <xf numFmtId="41" fontId="0" fillId="0" borderId="32" xfId="0" applyNumberFormat="1" applyBorder="1" applyProtection="1">
      <protection locked="0"/>
    </xf>
    <xf numFmtId="0" fontId="3" fillId="9" borderId="57" xfId="0" applyFont="1" applyFill="1" applyBorder="1"/>
    <xf numFmtId="0" fontId="3" fillId="0" borderId="56" xfId="0" applyFont="1" applyBorder="1" applyAlignment="1">
      <alignment wrapText="1"/>
    </xf>
    <xf numFmtId="0" fontId="3" fillId="0" borderId="57" xfId="0" applyFont="1" applyBorder="1" applyAlignment="1">
      <alignment wrapText="1"/>
    </xf>
    <xf numFmtId="0" fontId="3" fillId="0" borderId="12" xfId="0" applyFont="1" applyBorder="1"/>
    <xf numFmtId="44" fontId="8" fillId="0" borderId="0" xfId="1" applyFont="1" applyAlignment="1">
      <alignment horizontal="center"/>
    </xf>
    <xf numFmtId="42" fontId="0" fillId="0" borderId="0" xfId="1" applyNumberFormat="1" applyFont="1"/>
    <xf numFmtId="168" fontId="3" fillId="0" borderId="0" xfId="0" applyNumberFormat="1" applyFont="1"/>
    <xf numFmtId="42" fontId="0" fillId="26" borderId="1" xfId="1" applyNumberFormat="1" applyFont="1" applyFill="1" applyBorder="1" applyProtection="1">
      <protection locked="0"/>
    </xf>
    <xf numFmtId="41" fontId="8" fillId="26" borderId="0" xfId="0" applyNumberFormat="1" applyFont="1" applyFill="1"/>
    <xf numFmtId="0" fontId="8" fillId="0" borderId="1" xfId="0" applyFont="1" applyBorder="1"/>
    <xf numFmtId="0" fontId="8" fillId="0" borderId="29" xfId="0" applyFont="1" applyBorder="1"/>
    <xf numFmtId="0" fontId="8" fillId="0" borderId="31" xfId="0" applyFont="1" applyBorder="1"/>
    <xf numFmtId="0" fontId="5" fillId="0" borderId="39" xfId="0" applyFont="1" applyBorder="1"/>
    <xf numFmtId="0" fontId="8" fillId="10" borderId="10" xfId="0" applyFont="1" applyFill="1" applyBorder="1"/>
    <xf numFmtId="0" fontId="26" fillId="0" borderId="0" xfId="0" applyFont="1" applyAlignment="1">
      <alignment horizontal="left" vertical="center" wrapText="1" indent="1"/>
    </xf>
    <xf numFmtId="0" fontId="33" fillId="0" borderId="0" xfId="0" applyFont="1"/>
    <xf numFmtId="41" fontId="8" fillId="0" borderId="0" xfId="0" applyNumberFormat="1" applyFont="1" applyAlignment="1">
      <alignment horizontal="center"/>
    </xf>
    <xf numFmtId="41" fontId="35" fillId="2" borderId="62" xfId="0" applyNumberFormat="1" applyFont="1" applyFill="1" applyBorder="1"/>
    <xf numFmtId="41" fontId="35" fillId="2" borderId="60" xfId="0" applyNumberFormat="1" applyFont="1" applyFill="1" applyBorder="1"/>
    <xf numFmtId="41" fontId="0" fillId="26" borderId="1" xfId="0" applyNumberFormat="1" applyFill="1" applyBorder="1"/>
    <xf numFmtId="0" fontId="36" fillId="0" borderId="0" xfId="7" applyFont="1" applyAlignment="1">
      <alignment wrapText="1"/>
    </xf>
    <xf numFmtId="0" fontId="36" fillId="0" borderId="0" xfId="0" applyFont="1"/>
    <xf numFmtId="0" fontId="8" fillId="0" borderId="0" xfId="0" applyFont="1" applyAlignment="1">
      <alignment vertical="center"/>
    </xf>
    <xf numFmtId="0" fontId="24" fillId="0" borderId="0" xfId="0" applyFont="1" applyAlignment="1">
      <alignment wrapText="1"/>
    </xf>
    <xf numFmtId="0" fontId="31" fillId="27" borderId="1" xfId="0" applyFont="1" applyFill="1" applyBorder="1" applyAlignment="1">
      <alignment horizontal="left" vertical="center" readingOrder="1"/>
    </xf>
    <xf numFmtId="0" fontId="31" fillId="26" borderId="0" xfId="0" applyFont="1" applyFill="1" applyAlignment="1">
      <alignment horizontal="left" vertical="center" readingOrder="1"/>
    </xf>
    <xf numFmtId="0" fontId="31" fillId="27" borderId="29" xfId="0" applyFont="1" applyFill="1" applyBorder="1" applyAlignment="1">
      <alignment horizontal="left" vertical="center" readingOrder="1"/>
    </xf>
    <xf numFmtId="0" fontId="26" fillId="0" borderId="0" xfId="0" applyFont="1"/>
    <xf numFmtId="0" fontId="30" fillId="26" borderId="0" xfId="0" applyFont="1" applyFill="1"/>
    <xf numFmtId="41" fontId="30" fillId="0" borderId="0" xfId="0" applyNumberFormat="1" applyFont="1"/>
    <xf numFmtId="44" fontId="0" fillId="0" borderId="0" xfId="1" applyFont="1"/>
    <xf numFmtId="0" fontId="30" fillId="0" borderId="0" xfId="0" applyFont="1" applyAlignment="1">
      <alignment vertical="center"/>
    </xf>
    <xf numFmtId="0" fontId="37" fillId="26" borderId="0" xfId="0" applyFont="1" applyFill="1"/>
    <xf numFmtId="0" fontId="38" fillId="26" borderId="0" xfId="4" applyFont="1" applyFill="1" applyAlignment="1">
      <protection locked="0"/>
    </xf>
    <xf numFmtId="0" fontId="0" fillId="0" borderId="12" xfId="0" applyBorder="1"/>
    <xf numFmtId="0" fontId="0" fillId="0" borderId="13" xfId="0" applyBorder="1"/>
    <xf numFmtId="0" fontId="0" fillId="0" borderId="14" xfId="0" applyBorder="1" applyAlignment="1">
      <alignment horizontal="center"/>
    </xf>
    <xf numFmtId="0" fontId="8" fillId="10" borderId="33" xfId="0" applyFont="1" applyFill="1" applyBorder="1"/>
    <xf numFmtId="0" fontId="0" fillId="10" borderId="34" xfId="0" applyFill="1" applyBorder="1"/>
    <xf numFmtId="0" fontId="8" fillId="3" borderId="15" xfId="0" applyFont="1" applyFill="1" applyBorder="1"/>
    <xf numFmtId="0" fontId="8" fillId="3" borderId="0" xfId="0" applyFont="1" applyFill="1"/>
    <xf numFmtId="0" fontId="8" fillId="10" borderId="12" xfId="0" applyFont="1" applyFill="1" applyBorder="1"/>
    <xf numFmtId="0" fontId="0" fillId="10" borderId="13" xfId="0" applyFill="1" applyBorder="1"/>
    <xf numFmtId="0" fontId="0" fillId="10" borderId="11" xfId="0" applyFill="1" applyBorder="1"/>
    <xf numFmtId="0" fontId="8" fillId="0" borderId="33" xfId="0" applyFont="1" applyBorder="1"/>
    <xf numFmtId="0" fontId="8" fillId="0" borderId="12" xfId="0" applyFont="1" applyBorder="1"/>
    <xf numFmtId="0" fontId="0" fillId="0" borderId="38" xfId="0" applyBorder="1" applyAlignment="1">
      <alignment horizontal="center"/>
    </xf>
    <xf numFmtId="0" fontId="8" fillId="0" borderId="35" xfId="0" applyFont="1" applyBorder="1"/>
    <xf numFmtId="14" fontId="8" fillId="3" borderId="0" xfId="0" applyNumberFormat="1" applyFont="1" applyFill="1" applyAlignment="1">
      <alignment horizontal="center"/>
    </xf>
    <xf numFmtId="0" fontId="0" fillId="3" borderId="17" xfId="0" applyFill="1" applyBorder="1"/>
    <xf numFmtId="14" fontId="8" fillId="0" borderId="0" xfId="0" applyNumberFormat="1" applyFont="1"/>
    <xf numFmtId="0" fontId="8" fillId="0" borderId="23" xfId="0" applyFont="1" applyBorder="1" applyAlignment="1">
      <alignment horizontal="center"/>
    </xf>
    <xf numFmtId="165" fontId="5" fillId="0" borderId="24" xfId="0" applyNumberFormat="1" applyFont="1" applyBorder="1" applyAlignment="1">
      <alignment horizontal="center"/>
    </xf>
    <xf numFmtId="165" fontId="5" fillId="0" borderId="0" xfId="0" applyNumberFormat="1" applyFont="1" applyAlignment="1">
      <alignment horizontal="center"/>
    </xf>
    <xf numFmtId="0" fontId="0" fillId="0" borderId="16" xfId="0" applyBorder="1" applyAlignment="1">
      <alignment horizontal="center"/>
    </xf>
    <xf numFmtId="14" fontId="6" fillId="0" borderId="0" xfId="0" applyNumberFormat="1" applyFont="1" applyAlignment="1">
      <alignment horizontal="center"/>
    </xf>
    <xf numFmtId="14" fontId="0" fillId="0" borderId="0" xfId="0" applyNumberFormat="1"/>
    <xf numFmtId="14" fontId="0" fillId="0" borderId="13" xfId="0" applyNumberFormat="1" applyBorder="1"/>
    <xf numFmtId="0" fontId="6" fillId="0" borderId="25" xfId="0" applyFont="1" applyBorder="1"/>
    <xf numFmtId="0" fontId="6" fillId="0" borderId="26" xfId="0" applyFont="1" applyBorder="1" applyAlignment="1">
      <alignment horizontal="right"/>
    </xf>
    <xf numFmtId="0" fontId="6" fillId="0" borderId="28" xfId="0" applyFont="1" applyBorder="1" applyAlignment="1">
      <alignment horizontal="left"/>
    </xf>
    <xf numFmtId="167" fontId="6" fillId="0" borderId="25" xfId="1" applyNumberFormat="1" applyFont="1" applyBorder="1"/>
    <xf numFmtId="9" fontId="6" fillId="0" borderId="25" xfId="1" applyNumberFormat="1" applyFont="1" applyBorder="1"/>
    <xf numFmtId="0" fontId="6" fillId="0" borderId="1" xfId="0" applyFont="1" applyBorder="1"/>
    <xf numFmtId="0" fontId="6" fillId="0" borderId="29" xfId="0" applyFont="1" applyBorder="1" applyAlignment="1">
      <alignment horizontal="right"/>
    </xf>
    <xf numFmtId="0" fontId="6" fillId="0" borderId="31" xfId="0" applyFont="1" applyBorder="1" applyAlignment="1">
      <alignment horizontal="left"/>
    </xf>
    <xf numFmtId="167" fontId="6" fillId="0" borderId="1" xfId="1" applyNumberFormat="1" applyFont="1" applyBorder="1"/>
    <xf numFmtId="9" fontId="6" fillId="0" borderId="1" xfId="1" applyNumberFormat="1" applyFont="1" applyBorder="1"/>
    <xf numFmtId="0" fontId="26" fillId="26" borderId="1" xfId="0" applyFont="1" applyFill="1" applyBorder="1"/>
    <xf numFmtId="0" fontId="26" fillId="0" borderId="31" xfId="0" applyFont="1" applyBorder="1" applyAlignment="1">
      <alignment horizontal="left"/>
    </xf>
    <xf numFmtId="0" fontId="26" fillId="0" borderId="1" xfId="0" applyFont="1" applyBorder="1"/>
    <xf numFmtId="167" fontId="26" fillId="0" borderId="25" xfId="1" applyNumberFormat="1" applyFont="1" applyBorder="1"/>
    <xf numFmtId="167" fontId="26" fillId="0" borderId="1" xfId="1" applyNumberFormat="1" applyFont="1" applyBorder="1"/>
    <xf numFmtId="9" fontId="26" fillId="0" borderId="1" xfId="1" applyNumberFormat="1" applyFont="1" applyBorder="1"/>
    <xf numFmtId="0" fontId="6" fillId="26" borderId="1" xfId="0" applyFont="1" applyFill="1" applyBorder="1"/>
    <xf numFmtId="167" fontId="6" fillId="26" borderId="1" xfId="1" applyNumberFormat="1" applyFont="1" applyFill="1" applyBorder="1"/>
    <xf numFmtId="9" fontId="6" fillId="26" borderId="1" xfId="1" applyNumberFormat="1" applyFont="1" applyFill="1" applyBorder="1"/>
    <xf numFmtId="0" fontId="5" fillId="0" borderId="31" xfId="0" applyFont="1" applyBorder="1" applyAlignment="1">
      <alignment horizontal="left"/>
    </xf>
    <xf numFmtId="0" fontId="28" fillId="0" borderId="31" xfId="0" applyFont="1" applyBorder="1" applyAlignment="1">
      <alignment horizontal="left"/>
    </xf>
    <xf numFmtId="42" fontId="28" fillId="0" borderId="1" xfId="1" applyNumberFormat="1" applyFont="1" applyBorder="1"/>
    <xf numFmtId="0" fontId="5" fillId="0" borderId="29" xfId="0" applyFont="1" applyBorder="1" applyAlignment="1">
      <alignment horizontal="right"/>
    </xf>
    <xf numFmtId="0" fontId="5" fillId="0" borderId="1" xfId="0" applyFont="1" applyBorder="1"/>
    <xf numFmtId="42" fontId="5" fillId="0" borderId="1" xfId="1" applyNumberFormat="1" applyFont="1" applyBorder="1"/>
    <xf numFmtId="44" fontId="5" fillId="0" borderId="1" xfId="1" applyFont="1" applyBorder="1"/>
    <xf numFmtId="44" fontId="3" fillId="0" borderId="0" xfId="1"/>
    <xf numFmtId="167" fontId="3" fillId="0" borderId="0" xfId="0" applyNumberFormat="1" applyFont="1"/>
    <xf numFmtId="0" fontId="26" fillId="26" borderId="30" xfId="1" applyNumberFormat="1" applyFont="1" applyFill="1" applyBorder="1" applyAlignment="1">
      <alignment horizontal="center"/>
    </xf>
    <xf numFmtId="0" fontId="26" fillId="26" borderId="29" xfId="0" applyFont="1" applyFill="1" applyBorder="1" applyAlignment="1">
      <alignment horizontal="right"/>
    </xf>
    <xf numFmtId="0" fontId="26" fillId="26" borderId="31" xfId="0" applyFont="1" applyFill="1" applyBorder="1" applyAlignment="1">
      <alignment horizontal="left"/>
    </xf>
    <xf numFmtId="167" fontId="26" fillId="26" borderId="1" xfId="1" applyNumberFormat="1" applyFont="1" applyFill="1" applyBorder="1"/>
    <xf numFmtId="9" fontId="26" fillId="26" borderId="1" xfId="1" applyNumberFormat="1" applyFont="1" applyFill="1" applyBorder="1"/>
    <xf numFmtId="0" fontId="28" fillId="0" borderId="1" xfId="0" applyFont="1" applyBorder="1"/>
    <xf numFmtId="44" fontId="28" fillId="0" borderId="1" xfId="1" applyFont="1" applyBorder="1"/>
    <xf numFmtId="14" fontId="8" fillId="3" borderId="15" xfId="0" applyNumberFormat="1" applyFont="1" applyFill="1" applyBorder="1" applyAlignment="1" applyProtection="1">
      <alignment horizontal="center"/>
      <protection locked="0"/>
    </xf>
    <xf numFmtId="14" fontId="8" fillId="0" borderId="20" xfId="0" applyNumberFormat="1" applyFont="1" applyBorder="1" applyProtection="1">
      <protection locked="0"/>
    </xf>
    <xf numFmtId="41" fontId="3" fillId="0" borderId="1" xfId="0" applyNumberFormat="1" applyFont="1" applyBorder="1" applyAlignment="1" applyProtection="1">
      <alignment horizontal="right" vertical="center"/>
      <protection locked="0"/>
    </xf>
    <xf numFmtId="41" fontId="3" fillId="0" borderId="29" xfId="0" applyNumberFormat="1" applyFont="1" applyBorder="1" applyAlignment="1" applyProtection="1">
      <alignment horizontal="right" vertical="center"/>
      <protection locked="0"/>
    </xf>
    <xf numFmtId="41" fontId="3" fillId="0" borderId="51" xfId="0" applyNumberFormat="1" applyFont="1" applyBorder="1" applyAlignment="1">
      <alignment horizontal="right" vertical="center"/>
    </xf>
    <xf numFmtId="41" fontId="3" fillId="2" borderId="1" xfId="0" applyNumberFormat="1" applyFont="1" applyFill="1" applyBorder="1" applyAlignment="1">
      <alignment horizontal="right" vertical="center"/>
    </xf>
    <xf numFmtId="41" fontId="3" fillId="2" borderId="29"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0" borderId="1" xfId="0" applyNumberFormat="1" applyFont="1" applyBorder="1" applyAlignment="1">
      <alignment horizontal="right" vertical="center"/>
    </xf>
    <xf numFmtId="41" fontId="3" fillId="0" borderId="29" xfId="0" applyNumberFormat="1" applyFont="1" applyBorder="1" applyAlignment="1">
      <alignment horizontal="right" vertical="center"/>
    </xf>
    <xf numFmtId="41" fontId="35" fillId="2" borderId="62" xfId="0" applyNumberFormat="1" applyFont="1" applyFill="1" applyBorder="1" applyAlignment="1">
      <alignment horizontal="right" vertical="center"/>
    </xf>
    <xf numFmtId="41" fontId="35" fillId="2" borderId="60" xfId="0" applyNumberFormat="1" applyFont="1" applyFill="1" applyBorder="1" applyAlignment="1">
      <alignment horizontal="right" vertical="center"/>
    </xf>
    <xf numFmtId="41" fontId="8" fillId="0" borderId="40" xfId="0" applyNumberFormat="1" applyFont="1" applyBorder="1" applyAlignment="1">
      <alignment horizontal="right" vertical="center"/>
    </xf>
    <xf numFmtId="41" fontId="3" fillId="0" borderId="53" xfId="0" applyNumberFormat="1" applyFont="1" applyBorder="1" applyAlignment="1">
      <alignment horizontal="right" vertical="center"/>
    </xf>
    <xf numFmtId="41" fontId="0" fillId="0" borderId="1" xfId="0" applyNumberFormat="1" applyBorder="1" applyAlignment="1" applyProtection="1">
      <alignment horizontal="right" vertical="center"/>
      <protection locked="0"/>
    </xf>
    <xf numFmtId="41" fontId="0" fillId="0" borderId="29" xfId="0" applyNumberFormat="1" applyBorder="1" applyAlignment="1" applyProtection="1">
      <alignment horizontal="right" vertical="center"/>
      <protection locked="0"/>
    </xf>
    <xf numFmtId="41" fontId="0" fillId="27" borderId="1" xfId="0" applyNumberFormat="1" applyFill="1" applyBorder="1" applyAlignment="1">
      <alignment horizontal="right" vertical="center"/>
    </xf>
    <xf numFmtId="41" fontId="0" fillId="27" borderId="29" xfId="0" applyNumberFormat="1" applyFill="1" applyBorder="1" applyAlignment="1">
      <alignment horizontal="right" vertical="center"/>
    </xf>
    <xf numFmtId="41" fontId="0" fillId="2" borderId="51" xfId="0" applyNumberFormat="1" applyFill="1" applyBorder="1" applyAlignment="1">
      <alignment horizontal="right" vertical="center"/>
    </xf>
    <xf numFmtId="41" fontId="0" fillId="2" borderId="1" xfId="0" applyNumberFormat="1" applyFill="1" applyBorder="1" applyAlignment="1">
      <alignment horizontal="right" vertical="center"/>
    </xf>
    <xf numFmtId="41" fontId="0" fillId="2" borderId="29" xfId="0" applyNumberFormat="1" applyFill="1" applyBorder="1" applyAlignment="1">
      <alignment horizontal="right" vertical="center"/>
    </xf>
    <xf numFmtId="0" fontId="31" fillId="27" borderId="62" xfId="0" applyFont="1" applyFill="1" applyBorder="1" applyAlignment="1">
      <alignment horizontal="right" vertical="center" readingOrder="1"/>
    </xf>
    <xf numFmtId="0" fontId="31" fillId="27" borderId="48" xfId="0" applyFont="1" applyFill="1" applyBorder="1" applyAlignment="1">
      <alignment horizontal="right" vertical="center" readingOrder="1"/>
    </xf>
    <xf numFmtId="41" fontId="34" fillId="2" borderId="1" xfId="0" applyNumberFormat="1" applyFont="1" applyFill="1" applyBorder="1" applyAlignment="1">
      <alignment horizontal="right" vertical="center"/>
    </xf>
    <xf numFmtId="41" fontId="34" fillId="2" borderId="29" xfId="0" applyNumberFormat="1" applyFont="1" applyFill="1" applyBorder="1" applyAlignment="1">
      <alignment horizontal="right" vertical="center"/>
    </xf>
    <xf numFmtId="41" fontId="0" fillId="0" borderId="1" xfId="0" applyNumberFormat="1" applyBorder="1" applyAlignment="1">
      <alignment horizontal="right" vertical="center"/>
    </xf>
    <xf numFmtId="41" fontId="0" fillId="2" borderId="60" xfId="0" applyNumberFormat="1" applyFill="1" applyBorder="1" applyAlignment="1">
      <alignment horizontal="right" vertical="center"/>
    </xf>
    <xf numFmtId="41" fontId="8" fillId="0" borderId="63" xfId="0" applyNumberFormat="1" applyFont="1" applyBorder="1" applyAlignment="1">
      <alignment horizontal="right" vertical="center"/>
    </xf>
    <xf numFmtId="41" fontId="3" fillId="26" borderId="1" xfId="0" applyNumberFormat="1" applyFont="1" applyFill="1" applyBorder="1" applyAlignment="1" applyProtection="1">
      <alignment horizontal="right" vertical="center"/>
      <protection locked="0"/>
    </xf>
    <xf numFmtId="41" fontId="35" fillId="2" borderId="48" xfId="0" applyNumberFormat="1" applyFont="1" applyFill="1" applyBorder="1" applyAlignment="1">
      <alignment horizontal="right" vertical="center"/>
    </xf>
    <xf numFmtId="41" fontId="0" fillId="0" borderId="37" xfId="0" applyNumberFormat="1" applyBorder="1" applyAlignment="1">
      <alignment horizontal="right" vertical="center"/>
    </xf>
    <xf numFmtId="41" fontId="0" fillId="0" borderId="40" xfId="0" applyNumberFormat="1" applyBorder="1" applyAlignment="1">
      <alignment horizontal="right" vertical="center"/>
    </xf>
    <xf numFmtId="41" fontId="0" fillId="0" borderId="8" xfId="0" applyNumberFormat="1" applyBorder="1" applyAlignment="1">
      <alignment horizontal="right" vertical="center"/>
    </xf>
    <xf numFmtId="41" fontId="8" fillId="0" borderId="19" xfId="0" applyNumberFormat="1" applyFont="1" applyBorder="1" applyAlignment="1">
      <alignment horizontal="right" vertical="center"/>
    </xf>
    <xf numFmtId="41" fontId="8" fillId="0" borderId="7" xfId="0" applyNumberFormat="1" applyFont="1" applyBorder="1" applyAlignment="1">
      <alignment horizontal="right" vertical="center"/>
    </xf>
    <xf numFmtId="14" fontId="0" fillId="0" borderId="0" xfId="0" applyNumberFormat="1" applyProtection="1">
      <protection locked="0"/>
    </xf>
    <xf numFmtId="0" fontId="3" fillId="0" borderId="0" xfId="0" applyFont="1" applyProtection="1">
      <protection locked="0"/>
    </xf>
    <xf numFmtId="166" fontId="26" fillId="28" borderId="1" xfId="27" applyNumberFormat="1" applyFont="1" applyFill="1" applyBorder="1"/>
    <xf numFmtId="0" fontId="26" fillId="26" borderId="29" xfId="27" applyFont="1" applyFill="1" applyBorder="1" applyAlignment="1">
      <alignment horizontal="right"/>
    </xf>
    <xf numFmtId="166" fontId="26" fillId="26" borderId="1" xfId="27" applyNumberFormat="1" applyFont="1" applyFill="1" applyBorder="1"/>
    <xf numFmtId="0" fontId="3" fillId="10" borderId="0" xfId="0" applyFont="1" applyFill="1" applyProtection="1">
      <protection locked="0"/>
    </xf>
    <xf numFmtId="49" fontId="3" fillId="0" borderId="0" xfId="0" applyNumberFormat="1" applyFont="1" applyProtection="1">
      <protection locked="0"/>
    </xf>
    <xf numFmtId="0" fontId="3" fillId="0" borderId="13" xfId="0" applyFont="1" applyBorder="1"/>
    <xf numFmtId="0" fontId="3" fillId="0" borderId="0" xfId="0" applyFont="1" applyAlignment="1">
      <alignment horizontal="center"/>
    </xf>
    <xf numFmtId="0" fontId="3" fillId="0" borderId="64" xfId="0" applyFont="1" applyBorder="1"/>
    <xf numFmtId="41" fontId="3" fillId="0" borderId="65" xfId="0" applyNumberFormat="1" applyFont="1" applyBorder="1"/>
    <xf numFmtId="41" fontId="3" fillId="0" borderId="66" xfId="0" applyNumberFormat="1" applyFont="1" applyBorder="1"/>
    <xf numFmtId="41" fontId="3" fillId="0" borderId="0" xfId="0" applyNumberFormat="1" applyFont="1" applyAlignment="1">
      <alignment horizontal="left"/>
    </xf>
    <xf numFmtId="41" fontId="3" fillId="0" borderId="65" xfId="0" applyNumberFormat="1" applyFont="1" applyBorder="1" applyAlignment="1">
      <alignment horizontal="right" vertical="center"/>
    </xf>
    <xf numFmtId="0" fontId="3" fillId="0" borderId="5" xfId="0" applyFont="1" applyBorder="1" applyAlignment="1">
      <alignment wrapText="1"/>
    </xf>
    <xf numFmtId="0" fontId="3" fillId="0" borderId="4" xfId="0" applyFont="1" applyBorder="1" applyAlignment="1">
      <alignment wrapText="1"/>
    </xf>
    <xf numFmtId="0" fontId="3" fillId="0" borderId="41" xfId="0" applyFont="1" applyBorder="1"/>
    <xf numFmtId="0" fontId="13" fillId="0" borderId="0" xfId="0" applyFont="1" applyFill="1"/>
    <xf numFmtId="0" fontId="13" fillId="0" borderId="0" xfId="0" applyFont="1" applyFill="1" applyAlignment="1">
      <alignment horizontal="center"/>
    </xf>
    <xf numFmtId="5" fontId="17" fillId="0" borderId="0" xfId="0" applyNumberFormat="1" applyFont="1" applyFill="1" applyAlignment="1">
      <alignment horizontal="center"/>
    </xf>
    <xf numFmtId="6" fontId="13" fillId="0" borderId="0" xfId="0" applyNumberFormat="1" applyFont="1" applyFill="1"/>
    <xf numFmtId="7" fontId="13" fillId="0" borderId="0" xfId="0" applyNumberFormat="1" applyFont="1" applyFill="1"/>
    <xf numFmtId="42" fontId="13" fillId="0" borderId="0" xfId="0" applyNumberFormat="1" applyFont="1" applyFill="1"/>
    <xf numFmtId="38" fontId="13" fillId="0" borderId="0" xfId="0" applyNumberFormat="1" applyFont="1" applyFill="1"/>
    <xf numFmtId="0" fontId="0" fillId="0" borderId="0" xfId="0" applyFill="1" applyProtection="1">
      <protection locked="0"/>
    </xf>
    <xf numFmtId="5" fontId="16" fillId="21" borderId="1" xfId="0" applyNumberFormat="1" applyFont="1" applyFill="1" applyBorder="1" applyAlignment="1">
      <alignment horizontal="left"/>
    </xf>
    <xf numFmtId="0" fontId="3" fillId="0" borderId="0" xfId="0" applyFont="1" applyFill="1" applyProtection="1">
      <protection locked="0"/>
    </xf>
    <xf numFmtId="0" fontId="39"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vertical="center"/>
    </xf>
    <xf numFmtId="0" fontId="3" fillId="23" borderId="0" xfId="0" applyFont="1" applyFill="1" applyProtection="1">
      <protection locked="0"/>
    </xf>
    <xf numFmtId="169" fontId="8" fillId="0" borderId="0" xfId="29" applyNumberFormat="1" applyFont="1" applyAlignment="1">
      <alignment horizontal="center"/>
    </xf>
    <xf numFmtId="167" fontId="3" fillId="0" borderId="0" xfId="1" applyNumberFormat="1" applyFont="1"/>
    <xf numFmtId="0" fontId="3" fillId="0" borderId="25"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0" xfId="0" applyFont="1" applyBorder="1"/>
    <xf numFmtId="167" fontId="0" fillId="0" borderId="0" xfId="1" applyNumberFormat="1" applyFont="1" applyBorder="1"/>
    <xf numFmtId="0" fontId="8" fillId="0" borderId="0" xfId="0" applyFont="1" applyBorder="1"/>
    <xf numFmtId="0" fontId="0" fillId="0" borderId="0" xfId="0" applyBorder="1"/>
    <xf numFmtId="169" fontId="0" fillId="0" borderId="0" xfId="29" applyNumberFormat="1" applyFont="1" applyBorder="1"/>
    <xf numFmtId="41" fontId="0" fillId="0" borderId="0" xfId="0" applyNumberFormat="1" applyBorder="1"/>
    <xf numFmtId="0" fontId="3" fillId="0" borderId="0" xfId="0" applyFont="1" applyBorder="1" applyAlignment="1" applyProtection="1">
      <alignment horizontal="center"/>
      <protection locked="0"/>
    </xf>
    <xf numFmtId="167" fontId="3" fillId="0" borderId="0" xfId="1" applyNumberFormat="1" applyBorder="1" applyProtection="1">
      <protection locked="0"/>
    </xf>
    <xf numFmtId="9" fontId="0" fillId="0" borderId="0" xfId="0" applyNumberFormat="1" applyBorder="1"/>
    <xf numFmtId="0" fontId="42" fillId="0" borderId="10" xfId="0" applyNumberFormat="1" applyFont="1" applyFill="1" applyBorder="1" applyAlignment="1">
      <alignment horizontal="left" vertical="top" wrapText="1" readingOrder="1"/>
    </xf>
    <xf numFmtId="0" fontId="42" fillId="0" borderId="0" xfId="0" applyNumberFormat="1" applyFont="1" applyFill="1" applyBorder="1" applyAlignment="1">
      <alignment horizontal="left" vertical="top" wrapText="1" readingOrder="1"/>
    </xf>
    <xf numFmtId="0" fontId="42" fillId="0" borderId="0" xfId="0" applyNumberFormat="1" applyFont="1" applyFill="1" applyBorder="1" applyAlignment="1">
      <alignment vertical="top" readingOrder="1"/>
    </xf>
    <xf numFmtId="0" fontId="3" fillId="26" borderId="0" xfId="0" applyNumberFormat="1" applyFont="1" applyFill="1" applyBorder="1" applyAlignment="1">
      <alignment vertical="top"/>
    </xf>
    <xf numFmtId="0" fontId="42" fillId="26" borderId="10" xfId="0" applyNumberFormat="1" applyFont="1" applyFill="1" applyBorder="1" applyAlignment="1">
      <alignment vertical="top" readingOrder="1"/>
    </xf>
    <xf numFmtId="0" fontId="43" fillId="0" borderId="1" xfId="0" applyNumberFormat="1" applyFont="1" applyFill="1" applyBorder="1" applyAlignment="1">
      <alignment horizontal="left" vertical="top" wrapText="1" readingOrder="1"/>
    </xf>
    <xf numFmtId="0" fontId="43" fillId="31" borderId="1" xfId="0" applyNumberFormat="1" applyFont="1" applyFill="1" applyBorder="1" applyAlignment="1" applyProtection="1">
      <alignment horizontal="left" vertical="top" wrapText="1" readingOrder="1"/>
    </xf>
    <xf numFmtId="172" fontId="43" fillId="31" borderId="1" xfId="0" applyNumberFormat="1" applyFont="1" applyFill="1" applyBorder="1" applyAlignment="1" applyProtection="1">
      <alignment horizontal="right" vertical="top"/>
    </xf>
    <xf numFmtId="0" fontId="3" fillId="31" borderId="1" xfId="0" applyFont="1" applyFill="1" applyBorder="1" applyProtection="1"/>
    <xf numFmtId="172" fontId="3" fillId="10" borderId="1" xfId="0" applyNumberFormat="1" applyFont="1" applyFill="1" applyBorder="1" applyProtection="1"/>
    <xf numFmtId="0" fontId="42" fillId="0" borderId="32" xfId="0" applyNumberFormat="1" applyFont="1" applyFill="1" applyBorder="1" applyAlignment="1">
      <alignment horizontal="left" vertical="top" wrapText="1" readingOrder="1"/>
    </xf>
    <xf numFmtId="0" fontId="42" fillId="32" borderId="1" xfId="0" applyNumberFormat="1" applyFont="1" applyFill="1" applyBorder="1" applyAlignment="1" applyProtection="1">
      <alignment horizontal="center" vertical="top" wrapText="1" readingOrder="1"/>
    </xf>
    <xf numFmtId="172" fontId="3" fillId="10" borderId="1" xfId="0" applyNumberFormat="1" applyFont="1" applyFill="1" applyBorder="1"/>
    <xf numFmtId="0" fontId="0" fillId="0" borderId="0" xfId="0"/>
    <xf numFmtId="0" fontId="42" fillId="32" borderId="29" xfId="0" applyNumberFormat="1" applyFont="1" applyFill="1" applyBorder="1" applyAlignment="1">
      <alignment vertical="top" readingOrder="1"/>
    </xf>
    <xf numFmtId="167" fontId="0" fillId="0" borderId="0" xfId="1" applyNumberFormat="1" applyFont="1"/>
    <xf numFmtId="44" fontId="3" fillId="10" borderId="0" xfId="1" applyFont="1" applyFill="1" applyAlignment="1">
      <alignment horizontal="center"/>
    </xf>
    <xf numFmtId="9" fontId="3" fillId="0" borderId="0" xfId="29" applyFont="1" applyAlignment="1">
      <alignment horizontal="right"/>
    </xf>
    <xf numFmtId="9" fontId="8" fillId="0" borderId="0" xfId="29" applyFont="1"/>
    <xf numFmtId="42" fontId="17" fillId="14" borderId="25" xfId="1" applyNumberFormat="1" applyFont="1" applyFill="1" applyBorder="1" applyAlignment="1">
      <alignment horizontal="right"/>
    </xf>
    <xf numFmtId="166" fontId="8" fillId="0" borderId="0" xfId="61" applyNumberFormat="1" applyFont="1" applyBorder="1" applyProtection="1"/>
    <xf numFmtId="166" fontId="3" fillId="0" borderId="0" xfId="61" applyNumberFormat="1" applyFont="1" applyBorder="1" applyProtection="1"/>
    <xf numFmtId="166" fontId="8" fillId="0" borderId="0" xfId="62" applyNumberFormat="1" applyFont="1" applyProtection="1"/>
    <xf numFmtId="166" fontId="8" fillId="0" borderId="0" xfId="63" applyNumberFormat="1" applyFont="1" applyBorder="1" applyProtection="1"/>
    <xf numFmtId="166" fontId="3" fillId="0" borderId="0" xfId="63" applyNumberFormat="1" applyFont="1" applyProtection="1"/>
    <xf numFmtId="0" fontId="3" fillId="0" borderId="0" xfId="61" applyFont="1" applyBorder="1"/>
    <xf numFmtId="166" fontId="3" fillId="0" borderId="0" xfId="64" applyNumberFormat="1" applyFont="1" applyBorder="1" applyProtection="1"/>
    <xf numFmtId="166" fontId="3" fillId="0" borderId="0" xfId="64" applyNumberFormat="1" applyFont="1" applyProtection="1"/>
    <xf numFmtId="166" fontId="8" fillId="0" borderId="0" xfId="64" applyNumberFormat="1" applyFont="1" applyBorder="1" applyProtection="1"/>
    <xf numFmtId="166" fontId="8" fillId="0" borderId="29" xfId="64" applyNumberFormat="1" applyFont="1" applyBorder="1" applyProtection="1">
      <protection locked="0"/>
    </xf>
    <xf numFmtId="166" fontId="8" fillId="0" borderId="31" xfId="64" applyNumberFormat="1" applyFont="1" applyBorder="1" applyProtection="1">
      <protection locked="0"/>
    </xf>
    <xf numFmtId="166" fontId="3" fillId="0" borderId="29" xfId="64" applyNumberFormat="1" applyFont="1" applyBorder="1" applyProtection="1">
      <protection locked="0"/>
    </xf>
    <xf numFmtId="166" fontId="3" fillId="0" borderId="30" xfId="64" applyNumberFormat="1" applyFont="1" applyBorder="1" applyProtection="1">
      <protection locked="0"/>
    </xf>
    <xf numFmtId="166" fontId="3" fillId="0" borderId="31" xfId="64" applyNumberFormat="1" applyFont="1" applyBorder="1" applyProtection="1">
      <protection locked="0"/>
    </xf>
    <xf numFmtId="49" fontId="3" fillId="0" borderId="0" xfId="64" applyNumberFormat="1" applyFont="1" applyBorder="1" applyProtection="1">
      <protection locked="0"/>
    </xf>
    <xf numFmtId="49" fontId="3" fillId="0" borderId="0" xfId="64" applyNumberFormat="1" applyFont="1" applyBorder="1" applyProtection="1"/>
    <xf numFmtId="0" fontId="47" fillId="0" borderId="0" xfId="0" applyFont="1" applyAlignment="1">
      <alignment vertical="center"/>
    </xf>
    <xf numFmtId="49" fontId="3" fillId="0" borderId="29" xfId="64" applyNumberFormat="1" applyFont="1" applyBorder="1" applyProtection="1">
      <protection locked="0"/>
    </xf>
    <xf numFmtId="49" fontId="3" fillId="0" borderId="31" xfId="64" applyNumberFormat="1" applyFont="1" applyBorder="1" applyProtection="1">
      <protection locked="0"/>
    </xf>
    <xf numFmtId="166" fontId="3" fillId="0" borderId="67" xfId="61" applyNumberFormat="1" applyFont="1" applyFill="1" applyBorder="1" applyProtection="1"/>
    <xf numFmtId="166" fontId="8" fillId="0" borderId="37" xfId="61" applyNumberFormat="1" applyFont="1" applyFill="1" applyBorder="1" applyAlignment="1" applyProtection="1">
      <alignment horizontal="center"/>
    </xf>
    <xf numFmtId="166" fontId="8" fillId="0" borderId="67" xfId="61" applyNumberFormat="1" applyFont="1" applyFill="1" applyBorder="1" applyAlignment="1" applyProtection="1">
      <alignment horizontal="center"/>
    </xf>
    <xf numFmtId="0" fontId="3" fillId="0" borderId="37" xfId="0" applyFont="1" applyBorder="1"/>
    <xf numFmtId="166" fontId="8" fillId="0" borderId="44" xfId="61" applyNumberFormat="1" applyFont="1" applyFill="1" applyBorder="1" applyAlignment="1" applyProtection="1">
      <alignment horizontal="center"/>
    </xf>
    <xf numFmtId="166" fontId="3" fillId="0" borderId="70" xfId="61" applyNumberFormat="1" applyFont="1" applyBorder="1" applyProtection="1"/>
    <xf numFmtId="166" fontId="8" fillId="0" borderId="49" xfId="61" applyNumberFormat="1" applyFont="1" applyBorder="1" applyAlignment="1" applyProtection="1">
      <alignment horizontal="center"/>
    </xf>
    <xf numFmtId="166" fontId="8" fillId="0" borderId="49" xfId="61" applyNumberFormat="1" applyFont="1" applyFill="1" applyBorder="1" applyAlignment="1" applyProtection="1">
      <alignment horizontal="center"/>
    </xf>
    <xf numFmtId="166" fontId="8" fillId="0" borderId="52" xfId="61" applyNumberFormat="1" applyFont="1" applyBorder="1" applyProtection="1"/>
    <xf numFmtId="166" fontId="8" fillId="0" borderId="25" xfId="61" applyNumberFormat="1" applyFont="1" applyBorder="1" applyAlignment="1" applyProtection="1">
      <alignment horizontal="center"/>
    </xf>
    <xf numFmtId="166" fontId="3" fillId="0" borderId="25" xfId="61" applyNumberFormat="1" applyFont="1" applyBorder="1" applyProtection="1"/>
    <xf numFmtId="166" fontId="3" fillId="0" borderId="25" xfId="61" applyNumberFormat="1" applyFont="1" applyBorder="1" applyProtection="1">
      <protection locked="0"/>
    </xf>
    <xf numFmtId="166" fontId="3" fillId="0" borderId="1" xfId="61" applyNumberFormat="1" applyFont="1" applyBorder="1" applyProtection="1"/>
    <xf numFmtId="6" fontId="3" fillId="0" borderId="25" xfId="61" applyNumberFormat="1" applyFont="1" applyBorder="1" applyAlignment="1" applyProtection="1">
      <protection locked="0"/>
    </xf>
    <xf numFmtId="166" fontId="3" fillId="27" borderId="25" xfId="61" applyNumberFormat="1" applyFont="1" applyFill="1" applyBorder="1" applyProtection="1"/>
    <xf numFmtId="166" fontId="3" fillId="10" borderId="25" xfId="61" applyNumberFormat="1" applyFont="1" applyFill="1" applyBorder="1" applyProtection="1"/>
    <xf numFmtId="166" fontId="3" fillId="27" borderId="1" xfId="61" applyNumberFormat="1" applyFont="1" applyFill="1" applyBorder="1" applyProtection="1"/>
    <xf numFmtId="166" fontId="3" fillId="0" borderId="1" xfId="61" applyNumberFormat="1" applyFont="1" applyBorder="1" applyProtection="1">
      <protection locked="0"/>
    </xf>
    <xf numFmtId="166" fontId="3" fillId="10" borderId="1" xfId="61" applyNumberFormat="1" applyFont="1" applyFill="1" applyBorder="1" applyProtection="1"/>
    <xf numFmtId="6" fontId="3" fillId="10" borderId="25" xfId="61" applyNumberFormat="1" applyFont="1" applyFill="1" applyBorder="1" applyProtection="1"/>
    <xf numFmtId="49" fontId="3" fillId="0" borderId="29" xfId="64" applyNumberFormat="1" applyFont="1" applyBorder="1" applyAlignment="1" applyProtection="1">
      <alignment horizontal="left" indent="1"/>
      <protection locked="0"/>
    </xf>
    <xf numFmtId="172" fontId="3" fillId="31" borderId="1" xfId="0" applyNumberFormat="1" applyFont="1" applyFill="1" applyBorder="1" applyProtection="1"/>
    <xf numFmtId="0" fontId="43" fillId="0" borderId="1" xfId="0" applyNumberFormat="1" applyFont="1" applyFill="1" applyBorder="1" applyAlignment="1" applyProtection="1">
      <alignment horizontal="left" vertical="top" wrapText="1" readingOrder="1"/>
    </xf>
    <xf numFmtId="0" fontId="3" fillId="0" borderId="0" xfId="0" applyNumberFormat="1" applyFont="1" applyFill="1" applyBorder="1" applyAlignment="1">
      <alignment vertical="top"/>
    </xf>
    <xf numFmtId="0" fontId="42" fillId="32" borderId="30" xfId="0" applyNumberFormat="1" applyFont="1" applyFill="1" applyBorder="1" applyAlignment="1">
      <alignment vertical="top" readingOrder="1"/>
    </xf>
    <xf numFmtId="0" fontId="3" fillId="32" borderId="30" xfId="0" applyFont="1" applyFill="1" applyBorder="1"/>
    <xf numFmtId="0" fontId="42" fillId="32" borderId="1" xfId="0" applyNumberFormat="1" applyFont="1" applyFill="1" applyBorder="1" applyAlignment="1">
      <alignment horizontal="center" vertical="top" wrapText="1" readingOrder="1"/>
    </xf>
    <xf numFmtId="172" fontId="3" fillId="31" borderId="1" xfId="0" applyNumberFormat="1" applyFont="1" applyFill="1" applyBorder="1"/>
    <xf numFmtId="49" fontId="23" fillId="0" borderId="29" xfId="4" applyNumberFormat="1" applyBorder="1" applyAlignment="1" applyProtection="1">
      <protection locked="0"/>
    </xf>
    <xf numFmtId="0" fontId="42" fillId="0" borderId="10" xfId="65" applyNumberFormat="1" applyFont="1" applyFill="1" applyBorder="1" applyAlignment="1">
      <alignment horizontal="left" vertical="top" wrapText="1" readingOrder="1"/>
    </xf>
    <xf numFmtId="0" fontId="49" fillId="0" borderId="1" xfId="65" applyNumberFormat="1" applyFont="1" applyFill="1" applyBorder="1" applyAlignment="1">
      <alignment horizontal="left" vertical="top" wrapText="1" readingOrder="1"/>
    </xf>
    <xf numFmtId="0" fontId="1" fillId="26" borderId="0" xfId="65" applyNumberFormat="1" applyFont="1" applyFill="1" applyBorder="1" applyAlignment="1">
      <alignment vertical="top"/>
    </xf>
    <xf numFmtId="0" fontId="50" fillId="26" borderId="30" xfId="65" applyNumberFormat="1" applyFont="1" applyFill="1" applyBorder="1" applyAlignment="1">
      <alignment vertical="top" readingOrder="1"/>
    </xf>
    <xf numFmtId="0" fontId="50" fillId="26" borderId="31" xfId="65" applyNumberFormat="1" applyFont="1" applyFill="1" applyBorder="1" applyAlignment="1">
      <alignment vertical="top" readingOrder="1"/>
    </xf>
    <xf numFmtId="0" fontId="50" fillId="0" borderId="30" xfId="65" applyNumberFormat="1" applyFont="1" applyFill="1" applyBorder="1" applyAlignment="1">
      <alignment vertical="top" readingOrder="1"/>
    </xf>
    <xf numFmtId="0" fontId="50" fillId="0" borderId="31" xfId="65" applyNumberFormat="1" applyFont="1" applyFill="1" applyBorder="1" applyAlignment="1">
      <alignment vertical="top" readingOrder="1"/>
    </xf>
    <xf numFmtId="0" fontId="50" fillId="24" borderId="29" xfId="65" applyNumberFormat="1" applyFont="1" applyFill="1" applyBorder="1" applyAlignment="1">
      <alignment vertical="top" readingOrder="1"/>
    </xf>
    <xf numFmtId="0" fontId="50" fillId="24" borderId="0" xfId="65" applyNumberFormat="1" applyFont="1" applyFill="1" applyBorder="1" applyAlignment="1">
      <alignment vertical="top" readingOrder="1"/>
    </xf>
    <xf numFmtId="0" fontId="50" fillId="24" borderId="31" xfId="65" applyNumberFormat="1" applyFont="1" applyFill="1" applyBorder="1" applyAlignment="1">
      <alignment vertical="top" readingOrder="1"/>
    </xf>
    <xf numFmtId="172" fontId="0" fillId="0" borderId="0" xfId="0" applyNumberFormat="1"/>
    <xf numFmtId="0" fontId="49" fillId="0" borderId="29" xfId="65" applyNumberFormat="1" applyFont="1" applyFill="1" applyBorder="1" applyAlignment="1">
      <alignment vertical="top" wrapText="1" readingOrder="1"/>
    </xf>
    <xf numFmtId="0" fontId="50" fillId="0" borderId="29" xfId="65" applyNumberFormat="1" applyFont="1" applyFill="1" applyBorder="1" applyAlignment="1">
      <alignment vertical="top" wrapText="1" readingOrder="1"/>
    </xf>
    <xf numFmtId="0" fontId="49" fillId="0" borderId="67" xfId="65" applyNumberFormat="1" applyFont="1" applyFill="1" applyBorder="1" applyAlignment="1">
      <alignment vertical="top" wrapText="1" readingOrder="1"/>
    </xf>
    <xf numFmtId="0" fontId="50" fillId="0" borderId="67" xfId="65" applyNumberFormat="1" applyFont="1" applyFill="1" applyBorder="1" applyAlignment="1">
      <alignment vertical="top" wrapText="1" readingOrder="1"/>
    </xf>
    <xf numFmtId="0" fontId="50" fillId="24" borderId="29" xfId="65" applyNumberFormat="1" applyFont="1" applyFill="1" applyBorder="1" applyAlignment="1">
      <alignment vertical="top" wrapText="1" readingOrder="1"/>
    </xf>
    <xf numFmtId="0" fontId="50" fillId="0" borderId="1" xfId="65" applyNumberFormat="1" applyFont="1" applyFill="1" applyBorder="1" applyAlignment="1">
      <alignment vertical="top" wrapText="1" readingOrder="1"/>
    </xf>
    <xf numFmtId="0" fontId="49" fillId="0" borderId="1" xfId="65" applyNumberFormat="1" applyFont="1" applyFill="1" applyBorder="1" applyAlignment="1">
      <alignment vertical="top" wrapText="1" readingOrder="1"/>
    </xf>
    <xf numFmtId="0" fontId="48" fillId="0" borderId="0" xfId="65" applyNumberFormat="1" applyFont="1" applyFill="1" applyBorder="1" applyAlignment="1">
      <alignment vertical="top" wrapText="1" readingOrder="1"/>
    </xf>
    <xf numFmtId="0" fontId="49" fillId="0" borderId="30" xfId="65" applyNumberFormat="1" applyFont="1" applyFill="1" applyBorder="1" applyAlignment="1">
      <alignment vertical="top" wrapText="1" readingOrder="1"/>
    </xf>
    <xf numFmtId="7" fontId="53" fillId="0" borderId="30" xfId="65" applyNumberFormat="1" applyFont="1" applyFill="1" applyBorder="1" applyAlignment="1">
      <alignment vertical="top"/>
    </xf>
    <xf numFmtId="0" fontId="48" fillId="0" borderId="0" xfId="65" applyNumberFormat="1" applyFont="1" applyFill="1" applyBorder="1" applyAlignment="1">
      <alignment vertical="top" readingOrder="1"/>
    </xf>
    <xf numFmtId="0" fontId="42" fillId="0" borderId="10" xfId="65" applyNumberFormat="1" applyFont="1" applyFill="1" applyBorder="1" applyAlignment="1">
      <alignment vertical="top" readingOrder="1"/>
    </xf>
    <xf numFmtId="0" fontId="49" fillId="0" borderId="30" xfId="65" applyNumberFormat="1" applyFont="1" applyFill="1" applyBorder="1" applyAlignment="1">
      <alignment vertical="top" readingOrder="1"/>
    </xf>
    <xf numFmtId="0" fontId="50" fillId="24" borderId="1" xfId="65" applyNumberFormat="1" applyFont="1" applyFill="1" applyBorder="1" applyAlignment="1">
      <alignment horizontal="center" vertical="top" wrapText="1" readingOrder="1"/>
    </xf>
    <xf numFmtId="0" fontId="49" fillId="24" borderId="67" xfId="65" applyNumberFormat="1" applyFont="1" applyFill="1" applyBorder="1" applyAlignment="1">
      <alignment vertical="top" wrapText="1" readingOrder="1"/>
    </xf>
    <xf numFmtId="0" fontId="50" fillId="24" borderId="1" xfId="65" applyNumberFormat="1" applyFont="1" applyFill="1" applyBorder="1" applyAlignment="1">
      <alignment vertical="top" wrapText="1" readingOrder="1"/>
    </xf>
    <xf numFmtId="0" fontId="1" fillId="0" borderId="0" xfId="65" applyNumberFormat="1" applyFont="1" applyFill="1" applyBorder="1"/>
    <xf numFmtId="0" fontId="52" fillId="0" borderId="0" xfId="65" applyNumberFormat="1" applyFont="1" applyFill="1" applyBorder="1"/>
    <xf numFmtId="0" fontId="54" fillId="24" borderId="1" xfId="65" applyNumberFormat="1" applyFont="1" applyFill="1" applyBorder="1" applyAlignment="1">
      <alignment horizontal="center" vertical="center" wrapText="1"/>
    </xf>
    <xf numFmtId="0" fontId="54" fillId="0" borderId="1" xfId="65" applyNumberFormat="1" applyFont="1" applyFill="1" applyBorder="1" applyProtection="1">
      <protection locked="0"/>
    </xf>
    <xf numFmtId="0" fontId="43" fillId="27" borderId="1" xfId="0" applyNumberFormat="1" applyFont="1" applyFill="1" applyBorder="1" applyAlignment="1">
      <alignment horizontal="left" vertical="top" wrapText="1" readingOrder="1"/>
    </xf>
    <xf numFmtId="0" fontId="43" fillId="27" borderId="1" xfId="0" applyNumberFormat="1" applyFont="1" applyFill="1" applyBorder="1" applyAlignment="1" applyProtection="1">
      <alignment horizontal="left" vertical="top" wrapText="1" readingOrder="1"/>
    </xf>
    <xf numFmtId="172" fontId="3" fillId="0" borderId="0" xfId="0" applyNumberFormat="1" applyFont="1" applyProtection="1">
      <protection locked="0"/>
    </xf>
    <xf numFmtId="44" fontId="43" fillId="30" borderId="1" xfId="1" applyFont="1" applyFill="1" applyBorder="1" applyAlignment="1" applyProtection="1">
      <alignment horizontal="right"/>
      <protection locked="0"/>
    </xf>
    <xf numFmtId="44" fontId="3" fillId="10" borderId="1" xfId="1" applyFont="1" applyFill="1" applyBorder="1" applyAlignment="1"/>
    <xf numFmtId="44" fontId="43" fillId="27" borderId="1" xfId="1" applyFont="1" applyFill="1" applyBorder="1" applyAlignment="1" applyProtection="1">
      <alignment horizontal="right"/>
      <protection locked="0"/>
    </xf>
    <xf numFmtId="44" fontId="3" fillId="27" borderId="1" xfId="1" applyFont="1" applyFill="1" applyBorder="1" applyAlignment="1" applyProtection="1"/>
    <xf numFmtId="44" fontId="3" fillId="27" borderId="1" xfId="1" applyFont="1" applyFill="1" applyBorder="1" applyAlignment="1"/>
    <xf numFmtId="44" fontId="43" fillId="31" borderId="1" xfId="1" applyFont="1" applyFill="1" applyBorder="1" applyAlignment="1" applyProtection="1">
      <alignment horizontal="right"/>
    </xf>
    <xf numFmtId="44" fontId="3" fillId="31" borderId="1" xfId="1" applyFont="1" applyFill="1" applyBorder="1" applyAlignment="1" applyProtection="1"/>
    <xf numFmtId="44" fontId="3" fillId="10" borderId="1" xfId="1" applyFont="1" applyFill="1" applyBorder="1" applyAlignment="1" applyProtection="1"/>
    <xf numFmtId="44" fontId="43" fillId="0" borderId="1" xfId="1" applyFont="1" applyFill="1" applyBorder="1" applyAlignment="1" applyProtection="1">
      <alignment horizontal="right"/>
      <protection locked="0"/>
    </xf>
    <xf numFmtId="44" fontId="3" fillId="0" borderId="1" xfId="1" applyFont="1" applyFill="1" applyBorder="1" applyAlignment="1" applyProtection="1">
      <protection locked="0"/>
    </xf>
    <xf numFmtId="0" fontId="43" fillId="0" borderId="1" xfId="0" applyNumberFormat="1" applyFont="1" applyFill="1" applyBorder="1" applyAlignment="1">
      <alignment horizontal="left" wrapText="1" readingOrder="1"/>
    </xf>
    <xf numFmtId="44" fontId="49" fillId="30" borderId="1" xfId="1" applyFont="1" applyFill="1" applyBorder="1" applyAlignment="1" applyProtection="1">
      <alignment horizontal="right"/>
      <protection locked="0"/>
    </xf>
    <xf numFmtId="44" fontId="49" fillId="24" borderId="1" xfId="1" applyFont="1" applyFill="1" applyBorder="1" applyAlignment="1" applyProtection="1">
      <alignment horizontal="left" wrapText="1" readingOrder="1"/>
      <protection locked="0"/>
    </xf>
    <xf numFmtId="44" fontId="49" fillId="0" borderId="1" xfId="1" applyFont="1" applyFill="1" applyBorder="1" applyAlignment="1" applyProtection="1">
      <alignment horizontal="right"/>
      <protection locked="0"/>
    </xf>
    <xf numFmtId="44" fontId="49" fillId="24" borderId="1" xfId="1" applyFont="1" applyFill="1" applyBorder="1" applyAlignment="1">
      <alignment horizontal="left" wrapText="1" readingOrder="1"/>
    </xf>
    <xf numFmtId="44" fontId="49" fillId="33" borderId="1" xfId="1" applyFont="1" applyFill="1" applyBorder="1" applyAlignment="1" applyProtection="1">
      <alignment horizontal="right"/>
      <protection locked="0"/>
    </xf>
    <xf numFmtId="44" fontId="49" fillId="24" borderId="67" xfId="1" applyFont="1" applyFill="1" applyBorder="1" applyAlignment="1">
      <alignment wrapText="1" readingOrder="1"/>
    </xf>
    <xf numFmtId="44" fontId="49" fillId="24" borderId="1" xfId="1" applyFont="1" applyFill="1" applyBorder="1" applyAlignment="1">
      <alignment wrapText="1" readingOrder="1"/>
    </xf>
    <xf numFmtId="44" fontId="53" fillId="0" borderId="29" xfId="1" applyFont="1" applyFill="1" applyBorder="1" applyAlignment="1" applyProtection="1">
      <protection locked="0"/>
    </xf>
    <xf numFmtId="44" fontId="53" fillId="0" borderId="1" xfId="1" applyFont="1" applyFill="1" applyBorder="1" applyAlignment="1" applyProtection="1">
      <protection locked="0"/>
    </xf>
    <xf numFmtId="44" fontId="53" fillId="0" borderId="67" xfId="1" applyFont="1" applyFill="1" applyBorder="1" applyAlignment="1" applyProtection="1">
      <protection locked="0"/>
    </xf>
    <xf numFmtId="44" fontId="53" fillId="24" borderId="1" xfId="1" applyFont="1" applyFill="1" applyBorder="1" applyAlignment="1"/>
    <xf numFmtId="44" fontId="50" fillId="26" borderId="1" xfId="1" applyFont="1" applyFill="1" applyBorder="1" applyAlignment="1" applyProtection="1">
      <alignment horizontal="center" wrapText="1" readingOrder="1"/>
      <protection locked="0"/>
    </xf>
    <xf numFmtId="44" fontId="54" fillId="0" borderId="1" xfId="1" applyFont="1" applyFill="1" applyBorder="1" applyAlignment="1" applyProtection="1">
      <protection locked="0"/>
    </xf>
    <xf numFmtId="0" fontId="49" fillId="0" borderId="0" xfId="65" applyNumberFormat="1" applyFont="1" applyFill="1" applyBorder="1" applyAlignment="1">
      <alignment horizontal="left" vertical="top" wrapText="1" readingOrder="1"/>
    </xf>
    <xf numFmtId="0" fontId="5" fillId="8" borderId="0" xfId="0" applyFont="1" applyFill="1" applyAlignment="1">
      <alignment horizontal="right"/>
    </xf>
    <xf numFmtId="0" fontId="8" fillId="0" borderId="1" xfId="0" applyFont="1" applyBorder="1" applyAlignment="1">
      <alignment wrapText="1"/>
    </xf>
    <xf numFmtId="0" fontId="3" fillId="0" borderId="1" xfId="0" applyFont="1" applyFill="1" applyBorder="1" applyAlignment="1">
      <alignment horizontal="left" wrapText="1"/>
    </xf>
    <xf numFmtId="0" fontId="3" fillId="0" borderId="1" xfId="0" applyFont="1" applyBorder="1" applyAlignment="1">
      <alignment horizontal="left" wrapText="1"/>
    </xf>
    <xf numFmtId="0" fontId="3" fillId="0" borderId="0" xfId="0" applyFont="1" applyAlignment="1">
      <alignment wrapText="1"/>
    </xf>
    <xf numFmtId="0" fontId="8" fillId="0" borderId="1" xfId="0" applyFont="1" applyBorder="1" applyAlignment="1">
      <alignment horizontal="left" wrapText="1"/>
    </xf>
    <xf numFmtId="0" fontId="8" fillId="0" borderId="10" xfId="0" applyFont="1" applyFill="1" applyBorder="1"/>
    <xf numFmtId="0" fontId="37" fillId="34" borderId="0" xfId="0" applyFont="1" applyFill="1"/>
    <xf numFmtId="41" fontId="31" fillId="0" borderId="0" xfId="0" applyNumberFormat="1" applyFont="1" applyAlignment="1">
      <alignment horizontal="left" vertical="center" readingOrder="1"/>
    </xf>
    <xf numFmtId="41" fontId="33" fillId="0" borderId="0" xfId="0" applyNumberFormat="1" applyFont="1"/>
    <xf numFmtId="41" fontId="3" fillId="0" borderId="32" xfId="0" applyNumberFormat="1" applyFont="1" applyBorder="1" applyAlignment="1">
      <alignment horizontal="right" vertical="center"/>
    </xf>
    <xf numFmtId="41" fontId="3" fillId="0" borderId="73" xfId="0" applyNumberFormat="1" applyFont="1" applyBorder="1" applyAlignment="1">
      <alignment horizontal="right" vertical="center"/>
    </xf>
    <xf numFmtId="41" fontId="3" fillId="0" borderId="73" xfId="0" applyNumberFormat="1" applyFont="1" applyBorder="1"/>
    <xf numFmtId="0" fontId="8" fillId="35" borderId="1" xfId="0" applyFont="1" applyFill="1" applyBorder="1" applyAlignment="1">
      <alignment horizontal="left" wrapText="1"/>
    </xf>
    <xf numFmtId="0" fontId="8" fillId="0" borderId="1" xfId="0" applyFont="1" applyFill="1" applyBorder="1"/>
    <xf numFmtId="0" fontId="8" fillId="35" borderId="1" xfId="0" applyFont="1" applyFill="1" applyBorder="1"/>
    <xf numFmtId="0" fontId="3" fillId="0" borderId="1" xfId="0" applyFont="1" applyBorder="1" applyAlignment="1">
      <alignment horizontal="left"/>
    </xf>
    <xf numFmtId="0" fontId="44" fillId="0" borderId="1" xfId="0" applyFont="1" applyBorder="1" applyAlignment="1">
      <alignment horizontal="left" wrapText="1"/>
    </xf>
    <xf numFmtId="0" fontId="3" fillId="0" borderId="1" xfId="0" applyFont="1" applyFill="1" applyBorder="1"/>
    <xf numFmtId="0" fontId="3" fillId="36" borderId="1" xfId="0" applyFont="1" applyFill="1" applyBorder="1"/>
    <xf numFmtId="0" fontId="3" fillId="24" borderId="1" xfId="0" applyFont="1" applyFill="1" applyBorder="1" applyAlignment="1">
      <alignment horizontal="left"/>
    </xf>
    <xf numFmtId="0" fontId="3" fillId="24" borderId="1" xfId="0" applyFont="1" applyFill="1" applyBorder="1" applyAlignment="1">
      <alignment horizontal="left" wrapText="1"/>
    </xf>
    <xf numFmtId="0" fontId="3" fillId="10" borderId="1" xfId="0" applyFont="1" applyFill="1" applyBorder="1"/>
    <xf numFmtId="0" fontId="3" fillId="19" borderId="1" xfId="0" applyFont="1" applyFill="1" applyBorder="1" applyAlignment="1">
      <alignment horizontal="left"/>
    </xf>
    <xf numFmtId="0" fontId="3" fillId="19" borderId="1" xfId="0" applyFont="1" applyFill="1" applyBorder="1" applyAlignment="1">
      <alignment horizontal="left" wrapText="1"/>
    </xf>
    <xf numFmtId="0" fontId="44" fillId="24" borderId="1" xfId="0" applyFont="1" applyFill="1" applyBorder="1" applyAlignment="1">
      <alignment horizontal="left" wrapText="1"/>
    </xf>
    <xf numFmtId="0" fontId="3" fillId="37" borderId="1" xfId="0" applyFont="1" applyFill="1" applyBorder="1" applyAlignment="1">
      <alignment horizontal="left"/>
    </xf>
    <xf numFmtId="0" fontId="3" fillId="37" borderId="1" xfId="0" applyFont="1" applyFill="1" applyBorder="1" applyAlignment="1">
      <alignment horizontal="left" wrapText="1"/>
    </xf>
    <xf numFmtId="0" fontId="44" fillId="0" borderId="1" xfId="0" applyFont="1" applyFill="1" applyBorder="1" applyAlignment="1">
      <alignment horizontal="left" wrapText="1"/>
    </xf>
    <xf numFmtId="0" fontId="3" fillId="0" borderId="1" xfId="0" applyFont="1" applyFill="1" applyBorder="1" applyAlignment="1">
      <alignment horizontal="left"/>
    </xf>
    <xf numFmtId="0" fontId="44" fillId="37" borderId="1" xfId="0" applyFont="1" applyFill="1" applyBorder="1" applyAlignment="1">
      <alignment horizontal="left" wrapText="1"/>
    </xf>
    <xf numFmtId="0" fontId="56" fillId="24" borderId="1" xfId="0" applyFont="1" applyFill="1" applyBorder="1" applyAlignment="1">
      <alignment horizontal="left" wrapText="1"/>
    </xf>
    <xf numFmtId="0" fontId="3" fillId="26" borderId="1" xfId="0" applyFont="1" applyFill="1" applyBorder="1" applyAlignment="1">
      <alignment horizontal="left" wrapText="1"/>
    </xf>
    <xf numFmtId="0" fontId="3" fillId="38" borderId="1" xfId="0" applyFont="1" applyFill="1" applyBorder="1" applyAlignment="1">
      <alignment horizontal="left" wrapText="1"/>
    </xf>
    <xf numFmtId="0" fontId="3" fillId="24" borderId="0" xfId="0" applyFont="1" applyFill="1" applyBorder="1" applyAlignment="1">
      <alignment horizontal="left" wrapText="1"/>
    </xf>
    <xf numFmtId="0" fontId="57" fillId="24" borderId="0" xfId="0" applyFont="1" applyFill="1" applyBorder="1" applyAlignment="1">
      <alignment horizontal="left" wrapText="1"/>
    </xf>
    <xf numFmtId="0" fontId="56" fillId="0" borderId="1" xfId="0" applyFont="1" applyBorder="1" applyAlignment="1">
      <alignment horizontal="left" wrapText="1"/>
    </xf>
    <xf numFmtId="0" fontId="56" fillId="39" borderId="1" xfId="0" applyFont="1" applyFill="1" applyBorder="1" applyAlignment="1">
      <alignment horizontal="left" wrapText="1"/>
    </xf>
    <xf numFmtId="0" fontId="58" fillId="39" borderId="1" xfId="0" applyFont="1" applyFill="1" applyBorder="1" applyAlignment="1">
      <alignment horizontal="left" wrapText="1"/>
    </xf>
    <xf numFmtId="0" fontId="56" fillId="19" borderId="1" xfId="0" applyFont="1" applyFill="1" applyBorder="1" applyAlignment="1">
      <alignment horizontal="left" wrapText="1"/>
    </xf>
    <xf numFmtId="0" fontId="3" fillId="40" borderId="1" xfId="0" applyFont="1" applyFill="1" applyBorder="1" applyAlignment="1">
      <alignment horizontal="left"/>
    </xf>
    <xf numFmtId="0" fontId="3" fillId="40" borderId="1" xfId="0" applyFont="1" applyFill="1" applyBorder="1" applyAlignment="1">
      <alignment horizontal="left" wrapText="1"/>
    </xf>
    <xf numFmtId="0" fontId="3" fillId="0" borderId="1" xfId="0" applyFont="1" applyBorder="1" applyAlignment="1">
      <alignment wrapText="1"/>
    </xf>
    <xf numFmtId="0" fontId="0" fillId="0" borderId="0" xfId="0" applyAlignment="1"/>
    <xf numFmtId="0" fontId="3" fillId="0" borderId="11"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8" fillId="0" borderId="0" xfId="0" applyFont="1" applyAlignment="1"/>
    <xf numFmtId="0" fontId="3" fillId="0" borderId="0" xfId="0" applyFont="1" applyAlignment="1"/>
    <xf numFmtId="0" fontId="5" fillId="0" borderId="0" xfId="0" applyFont="1" applyAlignment="1">
      <alignment horizontal="center" wrapText="1"/>
    </xf>
    <xf numFmtId="0" fontId="5" fillId="0" borderId="0" xfId="0" applyFont="1" applyAlignment="1">
      <alignment horizontal="center"/>
    </xf>
    <xf numFmtId="0" fontId="3" fillId="0" borderId="0" xfId="0" applyFont="1" applyAlignment="1">
      <alignment horizontal="right"/>
    </xf>
    <xf numFmtId="6" fontId="17" fillId="6" borderId="0" xfId="26" applyNumberFormat="1" applyFont="1" applyFill="1" applyBorder="1" applyAlignment="1">
      <alignment horizontal="right"/>
    </xf>
    <xf numFmtId="6" fontId="17" fillId="23" borderId="0" xfId="26" applyNumberFormat="1" applyFont="1" applyFill="1" applyBorder="1" applyAlignment="1">
      <alignment horizontal="right"/>
    </xf>
    <xf numFmtId="41" fontId="0" fillId="0" borderId="62" xfId="0" applyNumberFormat="1" applyBorder="1" applyAlignment="1">
      <alignment horizontal="right" vertical="center"/>
    </xf>
    <xf numFmtId="0" fontId="50" fillId="24" borderId="1" xfId="65" applyNumberFormat="1" applyFont="1" applyFill="1" applyBorder="1" applyAlignment="1">
      <alignment horizontal="center" vertical="center" wrapText="1" readingOrder="1"/>
    </xf>
    <xf numFmtId="0" fontId="50" fillId="24" borderId="67" xfId="65" applyNumberFormat="1" applyFont="1" applyFill="1" applyBorder="1" applyAlignment="1">
      <alignment horizontal="center" vertical="center" wrapText="1" readingOrder="1"/>
    </xf>
    <xf numFmtId="0" fontId="0" fillId="23" borderId="0" xfId="0" applyFill="1" applyProtection="1">
      <protection locked="0"/>
    </xf>
    <xf numFmtId="0" fontId="14" fillId="23" borderId="72" xfId="0" applyFont="1" applyFill="1" applyBorder="1" applyAlignment="1">
      <alignment horizontal="center" wrapText="1"/>
    </xf>
    <xf numFmtId="0" fontId="0" fillId="0" borderId="53" xfId="0" applyBorder="1" applyAlignment="1">
      <alignment horizontal="center" wrapText="1"/>
    </xf>
    <xf numFmtId="0" fontId="3" fillId="0" borderId="1" xfId="0" applyFont="1" applyBorder="1" applyAlignment="1">
      <alignment wrapText="1"/>
    </xf>
    <xf numFmtId="0" fontId="0" fillId="0" borderId="1" xfId="0" applyBorder="1" applyAlignment="1"/>
    <xf numFmtId="0" fontId="6" fillId="0" borderId="0" xfId="0" applyFont="1" applyAlignment="1"/>
    <xf numFmtId="0" fontId="0" fillId="0" borderId="0" xfId="0" applyAlignment="1"/>
    <xf numFmtId="0" fontId="8" fillId="0" borderId="0" xfId="0" applyFont="1" applyAlignment="1">
      <alignment horizontal="left"/>
    </xf>
    <xf numFmtId="0" fontId="0" fillId="0" borderId="42" xfId="0" applyBorder="1" applyAlignment="1" applyProtection="1">
      <alignment horizontal="center" vertical="top"/>
      <protection locked="0"/>
    </xf>
    <xf numFmtId="0" fontId="0" fillId="0" borderId="43" xfId="0" applyBorder="1" applyAlignment="1" applyProtection="1">
      <alignment vertical="top"/>
      <protection locked="0"/>
    </xf>
    <xf numFmtId="0" fontId="0" fillId="0" borderId="44" xfId="0" applyBorder="1" applyAlignment="1" applyProtection="1">
      <alignment vertical="top"/>
      <protection locked="0"/>
    </xf>
    <xf numFmtId="0" fontId="0" fillId="0" borderId="12" xfId="0" applyBorder="1" applyAlignment="1" applyProtection="1">
      <alignment vertical="top"/>
      <protection locked="0"/>
    </xf>
    <xf numFmtId="0" fontId="0" fillId="0" borderId="0" xfId="0" applyAlignment="1" applyProtection="1">
      <alignment vertical="top"/>
      <protection locked="0"/>
    </xf>
    <xf numFmtId="0" fontId="0" fillId="0" borderId="45" xfId="0" applyBorder="1" applyAlignment="1" applyProtection="1">
      <alignment vertical="top"/>
      <protection locked="0"/>
    </xf>
    <xf numFmtId="0" fontId="0" fillId="0" borderId="46" xfId="0" applyBorder="1" applyAlignment="1" applyProtection="1">
      <alignment vertical="top"/>
      <protection locked="0"/>
    </xf>
    <xf numFmtId="0" fontId="0" fillId="0" borderId="10" xfId="0" applyBorder="1" applyAlignment="1" applyProtection="1">
      <alignment vertical="top"/>
      <protection locked="0"/>
    </xf>
    <xf numFmtId="0" fontId="0" fillId="0" borderId="47" xfId="0" applyBorder="1" applyAlignment="1" applyProtection="1">
      <alignment vertical="top"/>
      <protection locked="0"/>
    </xf>
    <xf numFmtId="0" fontId="3" fillId="0" borderId="11"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12" fillId="0" borderId="33" xfId="0"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0" fontId="8" fillId="10" borderId="33" xfId="0" applyFont="1" applyFill="1" applyBorder="1" applyAlignment="1" applyProtection="1">
      <alignment vertical="top"/>
      <protection locked="0"/>
    </xf>
    <xf numFmtId="0" fontId="0" fillId="10" borderId="36" xfId="0" applyFill="1" applyBorder="1" applyAlignment="1" applyProtection="1">
      <alignment vertical="top"/>
      <protection locked="0"/>
    </xf>
    <xf numFmtId="0" fontId="0" fillId="10" borderId="34" xfId="0" applyFill="1" applyBorder="1" applyAlignment="1" applyProtection="1">
      <alignment vertical="top"/>
      <protection locked="0"/>
    </xf>
    <xf numFmtId="0" fontId="0" fillId="10" borderId="12" xfId="0" applyFill="1" applyBorder="1" applyAlignment="1" applyProtection="1">
      <alignment vertical="top"/>
      <protection locked="0"/>
    </xf>
    <xf numFmtId="0" fontId="0" fillId="10" borderId="0" xfId="0" applyFill="1" applyAlignment="1" applyProtection="1">
      <alignment vertical="top"/>
      <protection locked="0"/>
    </xf>
    <xf numFmtId="0" fontId="0" fillId="10" borderId="13" xfId="0" applyFill="1" applyBorder="1" applyAlignment="1" applyProtection="1">
      <alignment vertical="top"/>
      <protection locked="0"/>
    </xf>
    <xf numFmtId="0" fontId="0" fillId="10" borderId="35" xfId="0" applyFill="1" applyBorder="1" applyAlignment="1" applyProtection="1">
      <protection locked="0"/>
    </xf>
    <xf numFmtId="0" fontId="0" fillId="10" borderId="11" xfId="0" applyFill="1" applyBorder="1" applyAlignment="1" applyProtection="1">
      <protection locked="0"/>
    </xf>
    <xf numFmtId="0" fontId="0" fillId="10" borderId="18" xfId="0" applyFill="1" applyBorder="1" applyAlignment="1" applyProtection="1">
      <protection locked="0"/>
    </xf>
    <xf numFmtId="0" fontId="29" fillId="0" borderId="0" xfId="0" applyFont="1" applyAlignment="1"/>
    <xf numFmtId="0" fontId="8" fillId="0" borderId="0" xfId="0" applyFont="1" applyAlignment="1"/>
    <xf numFmtId="0" fontId="3" fillId="0" borderId="0" xfId="0" applyFont="1" applyAlignment="1"/>
    <xf numFmtId="0" fontId="8" fillId="0" borderId="1" xfId="0" applyFont="1" applyBorder="1" applyAlignment="1"/>
    <xf numFmtId="164" fontId="8" fillId="0" borderId="1" xfId="0" applyNumberFormat="1" applyFont="1" applyBorder="1" applyAlignment="1"/>
    <xf numFmtId="0" fontId="5" fillId="0" borderId="0" xfId="0" applyFont="1" applyAlignment="1"/>
    <xf numFmtId="0" fontId="5" fillId="0" borderId="0" xfId="0" applyFont="1" applyAlignment="1">
      <alignment horizontal="center" wrapText="1"/>
    </xf>
    <xf numFmtId="0" fontId="5" fillId="0" borderId="0" xfId="0" applyFont="1" applyAlignment="1">
      <alignment horizontal="center"/>
    </xf>
    <xf numFmtId="0" fontId="8" fillId="0" borderId="0" xfId="0" applyFont="1" applyAlignment="1">
      <alignment horizontal="right"/>
    </xf>
    <xf numFmtId="0" fontId="3" fillId="0" borderId="0" xfId="0" applyFont="1" applyAlignment="1">
      <alignment horizontal="right"/>
    </xf>
    <xf numFmtId="41" fontId="8" fillId="26" borderId="0" xfId="0" applyNumberFormat="1" applyFont="1" applyFill="1" applyAlignment="1"/>
    <xf numFmtId="0" fontId="8" fillId="26" borderId="0" xfId="0" applyFont="1" applyFill="1" applyAlignment="1"/>
    <xf numFmtId="0" fontId="0" fillId="0" borderId="0" xfId="0" applyAlignment="1">
      <alignment horizontal="right"/>
    </xf>
    <xf numFmtId="0" fontId="30" fillId="0" borderId="12" xfId="0" applyFont="1" applyBorder="1" applyAlignment="1"/>
    <xf numFmtId="0" fontId="24" fillId="0" borderId="0" xfId="0" applyFont="1" applyAlignment="1"/>
    <xf numFmtId="0" fontId="3" fillId="0" borderId="1" xfId="0" applyFont="1" applyBorder="1" applyAlignment="1"/>
    <xf numFmtId="0" fontId="8" fillId="0" borderId="29" xfId="0" applyFont="1" applyBorder="1" applyAlignment="1"/>
    <xf numFmtId="0" fontId="8" fillId="0" borderId="31" xfId="0" applyFont="1" applyBorder="1" applyAlignment="1"/>
    <xf numFmtId="9" fontId="8" fillId="0" borderId="0" xfId="0" applyNumberFormat="1" applyFont="1" applyBorder="1" applyAlignment="1"/>
    <xf numFmtId="0" fontId="3" fillId="0" borderId="0" xfId="0" applyFont="1" applyBorder="1" applyAlignment="1"/>
    <xf numFmtId="164" fontId="8" fillId="0" borderId="29" xfId="0" applyNumberFormat="1" applyFont="1" applyBorder="1" applyAlignment="1"/>
    <xf numFmtId="164" fontId="8" fillId="0" borderId="31" xfId="0" applyNumberFormat="1" applyFont="1" applyBorder="1" applyAlignment="1"/>
    <xf numFmtId="0" fontId="8" fillId="0" borderId="0" xfId="0" applyFont="1" applyBorder="1" applyAlignment="1"/>
    <xf numFmtId="0" fontId="0" fillId="0" borderId="0" xfId="0" applyBorder="1" applyAlignment="1"/>
    <xf numFmtId="0" fontId="3" fillId="14" borderId="68" xfId="0" applyFont="1" applyFill="1" applyBorder="1" applyAlignment="1"/>
    <xf numFmtId="0" fontId="0" fillId="14" borderId="30" xfId="0" applyFill="1" applyBorder="1" applyAlignment="1"/>
    <xf numFmtId="0" fontId="3" fillId="16" borderId="68" xfId="0" applyFont="1" applyFill="1" applyBorder="1" applyAlignment="1"/>
    <xf numFmtId="0" fontId="0" fillId="16" borderId="30" xfId="0" applyFill="1" applyBorder="1" applyAlignment="1"/>
    <xf numFmtId="0" fontId="44" fillId="10" borderId="0" xfId="0" applyFont="1" applyFill="1" applyAlignment="1"/>
    <xf numFmtId="0" fontId="0" fillId="10" borderId="0" xfId="0" applyFill="1" applyAlignment="1"/>
    <xf numFmtId="0" fontId="32" fillId="0" borderId="0" xfId="0" applyFont="1" applyAlignment="1"/>
    <xf numFmtId="0" fontId="5" fillId="0" borderId="0" xfId="0" applyFont="1" applyAlignment="1" applyProtection="1">
      <alignment horizontal="center" wrapText="1"/>
      <protection locked="0"/>
    </xf>
    <xf numFmtId="0" fontId="5" fillId="0" borderId="0" xfId="0" applyFont="1" applyAlignment="1" applyProtection="1">
      <alignment horizontal="center"/>
      <protection locked="0"/>
    </xf>
    <xf numFmtId="41" fontId="0" fillId="0" borderId="0" xfId="0" applyNumberFormat="1" applyAlignment="1"/>
    <xf numFmtId="0" fontId="8" fillId="0" borderId="29" xfId="0" applyFont="1" applyBorder="1" applyAlignment="1">
      <alignment horizontal="left"/>
    </xf>
    <xf numFmtId="0" fontId="8" fillId="0" borderId="31" xfId="0" applyFont="1" applyBorder="1" applyAlignment="1">
      <alignment horizontal="left"/>
    </xf>
    <xf numFmtId="166" fontId="5" fillId="0" borderId="67" xfId="28" applyNumberFormat="1" applyFont="1" applyBorder="1" applyAlignment="1"/>
    <xf numFmtId="0" fontId="6" fillId="0" borderId="43" xfId="0" applyFont="1" applyBorder="1" applyAlignment="1"/>
    <xf numFmtId="0" fontId="0" fillId="0" borderId="43" xfId="0" applyBorder="1" applyAlignment="1"/>
    <xf numFmtId="0" fontId="0" fillId="0" borderId="44" xfId="0" applyBorder="1" applyAlignment="1"/>
    <xf numFmtId="41" fontId="3" fillId="0" borderId="0" xfId="0" applyNumberFormat="1" applyFont="1" applyAlignment="1"/>
    <xf numFmtId="166" fontId="5" fillId="0" borderId="0" xfId="28" applyNumberFormat="1" applyFont="1" applyAlignment="1"/>
    <xf numFmtId="0" fontId="8" fillId="0" borderId="0" xfId="0" applyFont="1" applyAlignment="1">
      <alignment horizontal="left" wrapText="1"/>
    </xf>
    <xf numFmtId="0" fontId="5" fillId="0" borderId="39" xfId="0" applyFont="1" applyBorder="1" applyAlignment="1"/>
    <xf numFmtId="0" fontId="3" fillId="0" borderId="33" xfId="0" applyFont="1" applyBorder="1" applyAlignment="1"/>
    <xf numFmtId="0" fontId="0" fillId="0" borderId="36" xfId="0" applyBorder="1" applyAlignment="1"/>
  </cellXfs>
  <cellStyles count="67">
    <cellStyle name="Comma 2" xfId="52" xr:uid="{00000000-0005-0000-0000-000001000000}"/>
    <cellStyle name="Comma0" xfId="53" xr:uid="{00000000-0005-0000-0000-000000000000}"/>
    <cellStyle name="Currency" xfId="1" builtinId="4"/>
    <cellStyle name="Currency 2" xfId="2" xr:uid="{00000000-0005-0000-0000-000003000000}"/>
    <cellStyle name="Currency 2 2" xfId="31" xr:uid="{00000000-0005-0000-0000-000004000000}"/>
    <cellStyle name="Currency 3" xfId="3" xr:uid="{00000000-0005-0000-0000-000005000000}"/>
    <cellStyle name="Currency0" xfId="54" xr:uid="{00000000-0005-0000-0000-000002000000}"/>
    <cellStyle name="Date" xfId="55" xr:uid="{00000000-0005-0000-0000-000003000000}"/>
    <cellStyle name="Fixed" xfId="56" xr:uid="{00000000-0005-0000-0000-000004000000}"/>
    <cellStyle name="Heading 1 2" xfId="57" xr:uid="{00000000-0005-0000-0000-000067000000}"/>
    <cellStyle name="Heading 2 2" xfId="58" xr:uid="{00000000-0005-0000-0000-000068000000}"/>
    <cellStyle name="Hyperlink" xfId="4" builtinId="8"/>
    <cellStyle name="Hyperlink 2" xfId="66" xr:uid="{00000000-0005-0000-0000-00006E000000}"/>
    <cellStyle name="Normal" xfId="0" builtinId="0"/>
    <cellStyle name="Normal 11 2" xfId="5" xr:uid="{00000000-0005-0000-0000-000008000000}"/>
    <cellStyle name="Normal 2" xfId="60" xr:uid="{00000000-0005-0000-0000-000008000000}"/>
    <cellStyle name="Normal 2 10" xfId="6" xr:uid="{00000000-0005-0000-0000-000009000000}"/>
    <cellStyle name="Normal 2 10 2" xfId="7" xr:uid="{00000000-0005-0000-0000-00000A000000}"/>
    <cellStyle name="Normal 2 10 2 2" xfId="33" xr:uid="{00000000-0005-0000-0000-00000B000000}"/>
    <cellStyle name="Normal 2 10 3" xfId="32" xr:uid="{00000000-0005-0000-0000-00000C000000}"/>
    <cellStyle name="Normal 2 11" xfId="8" xr:uid="{00000000-0005-0000-0000-00000D000000}"/>
    <cellStyle name="Normal 2 11 2" xfId="34" xr:uid="{00000000-0005-0000-0000-00000E000000}"/>
    <cellStyle name="Normal 2 2" xfId="9" xr:uid="{00000000-0005-0000-0000-00000F000000}"/>
    <cellStyle name="Normal 2 2 2" xfId="10" xr:uid="{00000000-0005-0000-0000-000010000000}"/>
    <cellStyle name="Normal 2 2 2 2" xfId="36" xr:uid="{00000000-0005-0000-0000-000011000000}"/>
    <cellStyle name="Normal 2 2 3" xfId="35" xr:uid="{00000000-0005-0000-0000-000012000000}"/>
    <cellStyle name="Normal 2 3" xfId="11" xr:uid="{00000000-0005-0000-0000-000013000000}"/>
    <cellStyle name="Normal 2 3 2" xfId="12" xr:uid="{00000000-0005-0000-0000-000014000000}"/>
    <cellStyle name="Normal 2 3 2 2" xfId="38" xr:uid="{00000000-0005-0000-0000-000015000000}"/>
    <cellStyle name="Normal 2 3 3" xfId="37" xr:uid="{00000000-0005-0000-0000-000016000000}"/>
    <cellStyle name="Normal 2 4" xfId="13" xr:uid="{00000000-0005-0000-0000-000017000000}"/>
    <cellStyle name="Normal 2 4 2" xfId="14" xr:uid="{00000000-0005-0000-0000-000018000000}"/>
    <cellStyle name="Normal 2 4 2 2" xfId="40" xr:uid="{00000000-0005-0000-0000-000019000000}"/>
    <cellStyle name="Normal 2 4 3" xfId="39" xr:uid="{00000000-0005-0000-0000-00001A000000}"/>
    <cellStyle name="Normal 2 5" xfId="15" xr:uid="{00000000-0005-0000-0000-00001B000000}"/>
    <cellStyle name="Normal 2 5 2" xfId="16" xr:uid="{00000000-0005-0000-0000-00001C000000}"/>
    <cellStyle name="Normal 2 5 2 2" xfId="42" xr:uid="{00000000-0005-0000-0000-00001D000000}"/>
    <cellStyle name="Normal 2 5 3" xfId="41" xr:uid="{00000000-0005-0000-0000-00001E000000}"/>
    <cellStyle name="Normal 2 6" xfId="17" xr:uid="{00000000-0005-0000-0000-00001F000000}"/>
    <cellStyle name="Normal 2 6 2" xfId="18" xr:uid="{00000000-0005-0000-0000-000020000000}"/>
    <cellStyle name="Normal 2 6 2 2" xfId="44" xr:uid="{00000000-0005-0000-0000-000021000000}"/>
    <cellStyle name="Normal 2 6 3" xfId="43" xr:uid="{00000000-0005-0000-0000-000022000000}"/>
    <cellStyle name="Normal 2 7" xfId="19" xr:uid="{00000000-0005-0000-0000-000023000000}"/>
    <cellStyle name="Normal 2 7 2" xfId="20" xr:uid="{00000000-0005-0000-0000-000024000000}"/>
    <cellStyle name="Normal 2 7 2 2" xfId="46" xr:uid="{00000000-0005-0000-0000-000025000000}"/>
    <cellStyle name="Normal 2 7 3" xfId="45" xr:uid="{00000000-0005-0000-0000-000026000000}"/>
    <cellStyle name="Normal 2 8" xfId="21" xr:uid="{00000000-0005-0000-0000-000027000000}"/>
    <cellStyle name="Normal 2 8 2" xfId="22" xr:uid="{00000000-0005-0000-0000-000028000000}"/>
    <cellStyle name="Normal 2 8 2 2" xfId="48" xr:uid="{00000000-0005-0000-0000-000029000000}"/>
    <cellStyle name="Normal 2 8 3" xfId="47" xr:uid="{00000000-0005-0000-0000-00002A000000}"/>
    <cellStyle name="Normal 2 9" xfId="23" xr:uid="{00000000-0005-0000-0000-00002B000000}"/>
    <cellStyle name="Normal 2 9 2" xfId="24" xr:uid="{00000000-0005-0000-0000-00002C000000}"/>
    <cellStyle name="Normal 2 9 2 2" xfId="50" xr:uid="{00000000-0005-0000-0000-00002D000000}"/>
    <cellStyle name="Normal 2 9 3" xfId="49" xr:uid="{00000000-0005-0000-0000-00002E000000}"/>
    <cellStyle name="Normal 3" xfId="65" xr:uid="{00000000-0005-0000-0000-00006F000000}"/>
    <cellStyle name="Normal 4" xfId="25" xr:uid="{00000000-0005-0000-0000-00002F000000}"/>
    <cellStyle name="Normal_180a-oct" xfId="61" xr:uid="{729E201A-762D-4B6B-893C-28C880DE702B}"/>
    <cellStyle name="Normal_180aocto6" xfId="63" xr:uid="{31CD704B-3A42-4EE6-AC30-7EAEC6275FC4}"/>
    <cellStyle name="Normal_180-b 2005a" xfId="64" xr:uid="{0E62315A-CC24-419D-B701-551A636692E2}"/>
    <cellStyle name="Normal_COMBCTY9" xfId="26" xr:uid="{00000000-0005-0000-0000-000030000000}"/>
    <cellStyle name="Normal_Copy of SHIP Reporting Form (08-09)" xfId="27" xr:uid="{00000000-0005-0000-0000-000031000000}"/>
    <cellStyle name="Normal_Sheet1" xfId="62" xr:uid="{EECCEC14-608B-4FB3-BBC8-33BFF16376E0}"/>
    <cellStyle name="Normal_State Pharmaceutical 08-09 (2)" xfId="28" xr:uid="{00000000-0005-0000-0000-000033000000}"/>
    <cellStyle name="Percent" xfId="29" builtinId="5"/>
    <cellStyle name="Percent 2" xfId="30" xr:uid="{00000000-0005-0000-0000-000035000000}"/>
    <cellStyle name="Percent 2 2" xfId="51" xr:uid="{00000000-0005-0000-0000-000036000000}"/>
    <cellStyle name="Total 2" xfId="59" xr:uid="{00000000-0005-0000-0000-00006E000000}"/>
  </cellStyles>
  <dxfs count="962">
    <dxf>
      <font>
        <b/>
        <i val="0"/>
        <strike val="0"/>
      </font>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b/>
        <i val="0"/>
        <condense val="0"/>
        <extend val="0"/>
      </font>
      <fill>
        <patternFill>
          <bgColor indexed="5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b/>
        <i val="0"/>
        <condense val="0"/>
        <extend val="0"/>
      </font>
      <fill>
        <patternFill>
          <bgColor indexed="5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b/>
        <i val="0"/>
        <condense val="0"/>
        <extend val="0"/>
      </font>
      <fill>
        <patternFill>
          <bgColor indexed="5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b/>
        <i val="0"/>
        <condense val="0"/>
        <extend val="0"/>
      </font>
      <fill>
        <patternFill>
          <bgColor indexed="5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condense val="0"/>
        <extend val="0"/>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ill>
        <patternFill>
          <bgColor rgb="FFFFFF00"/>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b/>
        <i val="0"/>
        <condense val="0"/>
        <extend val="0"/>
      </font>
      <fill>
        <patternFill>
          <bgColor indexed="5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b/>
        <i val="0"/>
        <strike val="0"/>
        <condense val="0"/>
        <extend val="0"/>
      </font>
      <fill>
        <patternFill>
          <bgColor indexed="10"/>
        </patternFill>
      </fill>
    </dxf>
    <dxf>
      <font>
        <color rgb="FF9C0006"/>
      </font>
      <fill>
        <patternFill>
          <bgColor rgb="FFFFC7CE"/>
        </patternFill>
      </fill>
    </dxf>
    <dxf>
      <font>
        <b/>
        <i val="0"/>
        <condense val="0"/>
        <extend val="0"/>
      </font>
      <fill>
        <patternFill>
          <bgColor indexed="5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condense val="0"/>
        <extend val="0"/>
      </font>
      <fill>
        <patternFill>
          <bgColor indexed="52"/>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b/>
        <i val="0"/>
        <strike val="0"/>
        <condense val="0"/>
        <extend val="0"/>
      </font>
      <fill>
        <patternFill>
          <bgColor indexed="10"/>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strike val="0"/>
        <condense val="0"/>
        <extend val="0"/>
      </font>
      <fill>
        <patternFill>
          <bgColor indexed="10"/>
        </patternFill>
      </fill>
    </dxf>
    <dxf>
      <font>
        <b/>
        <i val="0"/>
        <condense val="0"/>
        <extend val="0"/>
      </font>
      <fill>
        <patternFill>
          <bgColor indexed="52"/>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b/>
        <i val="0"/>
        <condense val="0"/>
        <extend val="0"/>
      </font>
      <fill>
        <patternFill>
          <bgColor indexed="5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b/>
        <i val="0"/>
        <condense val="0"/>
        <extend val="0"/>
      </font>
      <fill>
        <patternFill>
          <bgColor indexed="5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ndense val="0"/>
        <extend val="0"/>
      </font>
      <fill>
        <patternFill>
          <bgColor indexed="52"/>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b/>
        <i val="0"/>
        <strike val="0"/>
        <condense val="0"/>
        <extend val="0"/>
      </font>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strike val="0"/>
        <condense val="0"/>
        <extend val="0"/>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color rgb="FF9C0006"/>
      </font>
      <fill>
        <patternFill>
          <bgColor rgb="FFFFC7CE"/>
        </patternFill>
      </fill>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color rgb="FF9C0006"/>
      </font>
      <fill>
        <patternFill>
          <bgColor rgb="FFFFC7CE"/>
        </patternFill>
      </fill>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color rgb="FF9C0006"/>
      </font>
      <fill>
        <patternFill>
          <bgColor rgb="FFFFC7CE"/>
        </patternFill>
      </fill>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594360</xdr:colOff>
      <xdr:row>5</xdr:row>
      <xdr:rowOff>121920</xdr:rowOff>
    </xdr:from>
    <xdr:ext cx="184731" cy="264560"/>
    <xdr:sp macro="" textlink="">
      <xdr:nvSpPr>
        <xdr:cNvPr id="2" name="TextBox 1">
          <a:extLst>
            <a:ext uri="{FF2B5EF4-FFF2-40B4-BE49-F238E27FC236}">
              <a16:creationId xmlns:a16="http://schemas.microsoft.com/office/drawing/2014/main" id="{D27B6DB0-3E04-4A74-9C1A-220A40875574}"/>
            </a:ext>
          </a:extLst>
        </xdr:cNvPr>
        <xdr:cNvSpPr txBox="1"/>
      </xdr:nvSpPr>
      <xdr:spPr>
        <a:xfrm>
          <a:off x="6204585" y="931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mailto:fiscal@gwaar.org" TargetMode="Externa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fiscal@gwaar.org"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fiscal@gwaar.org"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fiscal@gwaar.org"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externalLinkPath" Target="https://gwaar-my.sharepoint.com/personal/carrie_kroetz_gwaar_org/Documents/Current%20Projects/Claim%20form/2019-Master-Claim-Form-revised-02-13-19C.xlsx"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externalLinkPath" Target="https://gwaar-my.sharepoint.com/personal/carrie_kroetz_gwaar_org/Documents/Current%20Projects/Claim%20form/2019-Master-Claim-Form-revised-02-13-19C.xlsx"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externalLinkPath" Target="https://gwaar-my.sharepoint.com/personal/carrie_kroetz_gwaar_org/Documents/Current%20Projects/Claim%20form/2019-Master-Claim-Form-revised-02-13-19C.xlsx" TargetMode="Externa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fiscal@gwaar.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B63"/>
  <sheetViews>
    <sheetView topLeftCell="A4" workbookViewId="0">
      <selection activeCell="B42" sqref="B42"/>
    </sheetView>
  </sheetViews>
  <sheetFormatPr defaultRowHeight="13.2"/>
  <cols>
    <col min="1" max="1" width="12" bestFit="1" customWidth="1"/>
    <col min="2" max="2" width="137.109375" customWidth="1"/>
  </cols>
  <sheetData>
    <row r="1" spans="1:2">
      <c r="A1" s="93" t="s">
        <v>0</v>
      </c>
      <c r="B1" s="93" t="s">
        <v>1</v>
      </c>
    </row>
    <row r="2" spans="1:2">
      <c r="A2" s="339">
        <v>43152</v>
      </c>
      <c r="B2" s="19" t="s">
        <v>2</v>
      </c>
    </row>
    <row r="3" spans="1:2">
      <c r="A3" s="339">
        <v>43154</v>
      </c>
      <c r="B3" s="19" t="s">
        <v>3</v>
      </c>
    </row>
    <row r="4" spans="1:2">
      <c r="A4" s="339">
        <v>43156</v>
      </c>
      <c r="B4" s="19" t="s">
        <v>4</v>
      </c>
    </row>
    <row r="5" spans="1:2">
      <c r="A5" s="339">
        <v>43156</v>
      </c>
      <c r="B5" s="340" t="s">
        <v>5</v>
      </c>
    </row>
    <row r="6" spans="1:2">
      <c r="A6" s="339">
        <v>43157</v>
      </c>
      <c r="B6" s="340" t="s">
        <v>6</v>
      </c>
    </row>
    <row r="7" spans="1:2">
      <c r="A7" s="339">
        <v>43157</v>
      </c>
      <c r="B7" s="19" t="s">
        <v>7</v>
      </c>
    </row>
    <row r="8" spans="1:2">
      <c r="A8" s="339">
        <v>43157</v>
      </c>
      <c r="B8" s="365" t="s">
        <v>8</v>
      </c>
    </row>
    <row r="9" spans="1:2">
      <c r="A9" s="339">
        <v>43218</v>
      </c>
      <c r="B9" s="19" t="s">
        <v>9</v>
      </c>
    </row>
    <row r="10" spans="1:2">
      <c r="A10" s="339">
        <v>43332</v>
      </c>
      <c r="B10" s="365" t="s">
        <v>10</v>
      </c>
    </row>
    <row r="11" spans="1:2">
      <c r="A11" s="339">
        <v>43333</v>
      </c>
      <c r="B11" s="363" t="s">
        <v>11</v>
      </c>
    </row>
    <row r="12" spans="1:2">
      <c r="A12" s="339">
        <v>43333</v>
      </c>
      <c r="B12" s="365" t="s">
        <v>12</v>
      </c>
    </row>
    <row r="13" spans="1:2">
      <c r="A13" s="339">
        <v>43336</v>
      </c>
      <c r="B13" s="365" t="s">
        <v>13</v>
      </c>
    </row>
    <row r="14" spans="1:2">
      <c r="A14" s="339">
        <v>43336</v>
      </c>
      <c r="B14" s="365" t="s">
        <v>14</v>
      </c>
    </row>
    <row r="15" spans="1:2">
      <c r="A15" s="339">
        <v>43336</v>
      </c>
      <c r="B15" s="365" t="s">
        <v>15</v>
      </c>
    </row>
    <row r="16" spans="1:2">
      <c r="A16" s="339">
        <v>43336</v>
      </c>
      <c r="B16" s="365" t="s">
        <v>16</v>
      </c>
    </row>
    <row r="17" spans="1:2">
      <c r="A17" s="339">
        <v>43340</v>
      </c>
      <c r="B17" s="365" t="s">
        <v>17</v>
      </c>
    </row>
    <row r="18" spans="1:2">
      <c r="A18" s="339">
        <v>43441</v>
      </c>
      <c r="B18" s="365" t="s">
        <v>18</v>
      </c>
    </row>
    <row r="19" spans="1:2">
      <c r="A19" s="339">
        <v>43441</v>
      </c>
      <c r="B19" s="365" t="s">
        <v>19</v>
      </c>
    </row>
    <row r="20" spans="1:2">
      <c r="A20" s="339">
        <v>43441</v>
      </c>
      <c r="B20" s="19" t="s">
        <v>20</v>
      </c>
    </row>
    <row r="21" spans="1:2">
      <c r="A21" s="339">
        <v>43441</v>
      </c>
      <c r="B21" s="365" t="s">
        <v>21</v>
      </c>
    </row>
    <row r="22" spans="1:2">
      <c r="A22" s="339">
        <v>43441</v>
      </c>
      <c r="B22" s="365" t="s">
        <v>22</v>
      </c>
    </row>
    <row r="23" spans="1:2">
      <c r="A23" s="339">
        <v>43441</v>
      </c>
      <c r="B23" s="365" t="s">
        <v>23</v>
      </c>
    </row>
    <row r="24" spans="1:2">
      <c r="A24" s="339">
        <v>43441</v>
      </c>
      <c r="B24" s="365" t="s">
        <v>24</v>
      </c>
    </row>
    <row r="25" spans="1:2">
      <c r="A25" s="339">
        <v>43445</v>
      </c>
      <c r="B25" s="19" t="s">
        <v>25</v>
      </c>
    </row>
    <row r="26" spans="1:2">
      <c r="A26" s="339">
        <v>43445</v>
      </c>
      <c r="B26" s="19" t="s">
        <v>26</v>
      </c>
    </row>
    <row r="27" spans="1:2">
      <c r="A27" s="339">
        <v>43448</v>
      </c>
      <c r="B27" s="363" t="s">
        <v>27</v>
      </c>
    </row>
    <row r="28" spans="1:2">
      <c r="A28" s="339">
        <v>43448</v>
      </c>
      <c r="B28" s="365" t="s">
        <v>28</v>
      </c>
    </row>
    <row r="29" spans="1:2">
      <c r="A29" s="339">
        <v>43468</v>
      </c>
      <c r="B29" s="19" t="s">
        <v>29</v>
      </c>
    </row>
    <row r="30" spans="1:2">
      <c r="A30" s="339">
        <v>43469</v>
      </c>
      <c r="B30" s="363" t="s">
        <v>30</v>
      </c>
    </row>
    <row r="31" spans="1:2">
      <c r="A31" s="339">
        <v>43472</v>
      </c>
      <c r="B31" s="19" t="s">
        <v>31</v>
      </c>
    </row>
    <row r="32" spans="1:2">
      <c r="A32" s="339">
        <v>43472</v>
      </c>
      <c r="B32" s="19" t="s">
        <v>32</v>
      </c>
    </row>
    <row r="33" spans="1:2">
      <c r="A33" s="339">
        <v>43509</v>
      </c>
      <c r="B33" s="365" t="s">
        <v>33</v>
      </c>
    </row>
    <row r="34" spans="1:2">
      <c r="A34" s="339">
        <v>43509</v>
      </c>
      <c r="B34" s="365" t="s">
        <v>34</v>
      </c>
    </row>
    <row r="35" spans="1:2">
      <c r="A35" s="339">
        <v>43509</v>
      </c>
      <c r="B35" s="365" t="s">
        <v>35</v>
      </c>
    </row>
    <row r="36" spans="1:2">
      <c r="A36" s="339">
        <v>43525</v>
      </c>
      <c r="B36" s="344" t="s">
        <v>36</v>
      </c>
    </row>
    <row r="37" spans="1:2">
      <c r="A37" s="339">
        <v>182623</v>
      </c>
      <c r="B37" s="370" t="s">
        <v>37</v>
      </c>
    </row>
    <row r="38" spans="1:2">
      <c r="A38" s="339">
        <v>182623</v>
      </c>
      <c r="B38" s="370" t="s">
        <v>38</v>
      </c>
    </row>
    <row r="39" spans="1:2">
      <c r="A39" s="339">
        <v>182623</v>
      </c>
      <c r="B39" s="370" t="s">
        <v>39</v>
      </c>
    </row>
    <row r="40" spans="1:2">
      <c r="A40" s="339">
        <v>43525</v>
      </c>
      <c r="B40" s="344" t="s">
        <v>40</v>
      </c>
    </row>
    <row r="41" spans="1:2">
      <c r="A41" s="339">
        <v>182623</v>
      </c>
      <c r="B41" s="568" t="s">
        <v>1517</v>
      </c>
    </row>
    <row r="42" spans="1:2">
      <c r="A42" s="19"/>
      <c r="B42" s="19"/>
    </row>
    <row r="43" spans="1:2">
      <c r="A43" s="19"/>
      <c r="B43" s="19"/>
    </row>
    <row r="44" spans="1:2">
      <c r="A44" s="19"/>
      <c r="B44" s="19"/>
    </row>
    <row r="45" spans="1:2">
      <c r="A45" s="19"/>
      <c r="B45" s="19"/>
    </row>
    <row r="46" spans="1:2">
      <c r="A46" s="19"/>
      <c r="B46" s="19"/>
    </row>
    <row r="47" spans="1:2">
      <c r="A47" s="19"/>
      <c r="B47" s="19"/>
    </row>
    <row r="48" spans="1:2">
      <c r="A48" s="19"/>
      <c r="B48" s="19"/>
    </row>
    <row r="49" spans="1:2">
      <c r="A49" s="19"/>
      <c r="B49" s="19"/>
    </row>
    <row r="50" spans="1:2">
      <c r="A50" s="19"/>
      <c r="B50" s="19"/>
    </row>
    <row r="51" spans="1:2">
      <c r="A51" s="19"/>
      <c r="B51" s="19"/>
    </row>
    <row r="52" spans="1:2">
      <c r="A52" s="19"/>
      <c r="B52" s="19"/>
    </row>
    <row r="53" spans="1:2">
      <c r="A53" s="19"/>
      <c r="B53" s="19"/>
    </row>
    <row r="54" spans="1:2">
      <c r="A54" s="19"/>
      <c r="B54" s="19"/>
    </row>
    <row r="55" spans="1:2">
      <c r="A55" s="19"/>
      <c r="B55" s="19"/>
    </row>
    <row r="56" spans="1:2">
      <c r="A56" s="19"/>
      <c r="B56" s="19"/>
    </row>
    <row r="57" spans="1:2">
      <c r="A57" s="19"/>
      <c r="B57" s="19"/>
    </row>
    <row r="58" spans="1:2">
      <c r="A58" s="19"/>
      <c r="B58" s="19"/>
    </row>
    <row r="59" spans="1:2">
      <c r="A59" s="19"/>
      <c r="B59" s="19"/>
    </row>
    <row r="60" spans="1:2">
      <c r="A60" s="19"/>
      <c r="B60" s="19"/>
    </row>
    <row r="61" spans="1:2">
      <c r="A61" s="19"/>
      <c r="B61" s="19"/>
    </row>
    <row r="62" spans="1:2">
      <c r="A62" s="19"/>
      <c r="B62" s="19"/>
    </row>
    <row r="63" spans="1:2">
      <c r="A63" s="19"/>
      <c r="B63" s="19"/>
    </row>
  </sheetData>
  <sheetProtection password="C3C4" sheet="1" objects="1" scenarios="1"/>
  <sortState ref="A27:B39">
    <sortCondition ref="A27:A39"/>
  </sortState>
  <pageMargins left="0.7" right="0.7" top="0.75" bottom="0.75" header="0.3" footer="0.3"/>
  <pageSetup scale="83" fitToHeight="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A20"/>
  <sheetViews>
    <sheetView showGridLines="0" showRowColHeaders="0" zoomScaleNormal="100" workbookViewId="0"/>
  </sheetViews>
  <sheetFormatPr defaultColWidth="9.109375" defaultRowHeight="13.2"/>
  <cols>
    <col min="1" max="1" width="174.44140625" style="70" customWidth="1"/>
    <col min="2" max="16384" width="9.109375" style="70"/>
  </cols>
  <sheetData>
    <row r="1" spans="1:1" s="66" customFormat="1" ht="15" customHeight="1">
      <c r="A1" s="65" t="s">
        <v>1062</v>
      </c>
    </row>
    <row r="2" spans="1:1" s="66" customFormat="1" ht="15" customHeight="1">
      <c r="A2" s="67"/>
    </row>
    <row r="3" spans="1:1" s="66" customFormat="1" ht="15" customHeight="1">
      <c r="A3" s="67" t="s">
        <v>1063</v>
      </c>
    </row>
    <row r="4" spans="1:1" s="66" customFormat="1" ht="15" customHeight="1">
      <c r="A4" s="67"/>
    </row>
    <row r="5" spans="1:1" s="66" customFormat="1" ht="15" customHeight="1">
      <c r="A5" s="68" t="s">
        <v>1064</v>
      </c>
    </row>
    <row r="6" spans="1:1" s="66" customFormat="1" ht="15" customHeight="1">
      <c r="A6" s="69"/>
    </row>
    <row r="7" spans="1:1" s="66" customFormat="1" ht="45">
      <c r="A7" s="69" t="s">
        <v>1065</v>
      </c>
    </row>
    <row r="8" spans="1:1" s="66" customFormat="1" ht="15" customHeight="1">
      <c r="A8" s="69"/>
    </row>
    <row r="9" spans="1:1" s="66" customFormat="1" ht="67.5" customHeight="1">
      <c r="A9" s="69" t="s">
        <v>1066</v>
      </c>
    </row>
    <row r="10" spans="1:1" s="66" customFormat="1" ht="45">
      <c r="A10" s="69" t="s">
        <v>1067</v>
      </c>
    </row>
    <row r="11" spans="1:1" s="66" customFormat="1" ht="15">
      <c r="A11" s="69"/>
    </row>
    <row r="12" spans="1:1" s="66" customFormat="1" ht="15" customHeight="1">
      <c r="A12" s="69" t="s">
        <v>1068</v>
      </c>
    </row>
    <row r="13" spans="1:1" s="66" customFormat="1" ht="15" customHeight="1">
      <c r="A13" s="69"/>
    </row>
    <row r="14" spans="1:1" s="66" customFormat="1" ht="15" customHeight="1">
      <c r="A14" s="69" t="s">
        <v>1069</v>
      </c>
    </row>
    <row r="15" spans="1:1" s="66" customFormat="1" ht="15" customHeight="1">
      <c r="A15" s="69"/>
    </row>
    <row r="16" spans="1:1" s="66" customFormat="1" ht="15" customHeight="1"/>
    <row r="17" s="66" customFormat="1" ht="15" customHeight="1"/>
    <row r="18" s="66" customFormat="1" ht="15" customHeight="1"/>
    <row r="19" s="66" customFormat="1" ht="15" customHeight="1"/>
    <row r="20" s="66" customFormat="1" ht="15" customHeight="1"/>
  </sheetData>
  <sheetProtection algorithmName="SHA-512" hashValue="mz6hiNqhQqYI+5GXm0pBA9lwDhmz9lcJ3bRXZUtWK0fPfcKPBCq0d/uUSuuTnwGNbghsFqM4P0fS6bBbU1ANIA==" saltValue="prk/tWT+mfRYjB7UyDmEYg==" spinCount="100000" sheet="1"/>
  <customSheetViews>
    <customSheetView guid="{89953FCB-456A-4C2D-8912-B30825F750D3}" showGridLines="0" fitToPage="1">
      <selection activeCell="A17" sqref="A17"/>
      <pageMargins left="0" right="0" top="0" bottom="0" header="0" footer="0"/>
      <printOptions horizontalCentered="1" verticalCentered="1"/>
      <pageSetup scale="76" orientation="landscape" r:id="rId1"/>
      <headerFooter alignWithMargins="0"/>
    </customSheetView>
  </customSheetViews>
  <printOptions horizontalCentered="1" verticalCentered="1"/>
  <pageMargins left="0.39" right="0.4" top="1" bottom="1" header="0.5" footer="0.5"/>
  <pageSetup scale="76"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B70"/>
  <sheetViews>
    <sheetView showRowColHeaders="0" workbookViewId="0">
      <selection activeCell="A4" sqref="A4"/>
    </sheetView>
  </sheetViews>
  <sheetFormatPr defaultRowHeight="13.2"/>
  <cols>
    <col min="1" max="1" width="12" bestFit="1" customWidth="1"/>
    <col min="2" max="2" width="137.109375" customWidth="1"/>
  </cols>
  <sheetData>
    <row r="1" spans="1:2">
      <c r="A1" s="15" t="s">
        <v>1070</v>
      </c>
      <c r="B1" s="397">
        <f>'Certificate of Claim CAU'!B5</f>
        <v>0</v>
      </c>
    </row>
    <row r="3" spans="1:2">
      <c r="A3" s="93" t="s">
        <v>0</v>
      </c>
      <c r="B3" s="93" t="s">
        <v>1</v>
      </c>
    </row>
    <row r="4" spans="1:2">
      <c r="A4" s="19"/>
      <c r="B4" s="19"/>
    </row>
    <row r="5" spans="1:2">
      <c r="A5" s="19"/>
      <c r="B5" s="340"/>
    </row>
    <row r="6" spans="1:2">
      <c r="A6" s="19"/>
      <c r="B6" s="340"/>
    </row>
    <row r="7" spans="1:2">
      <c r="A7" s="19"/>
      <c r="B7" s="340"/>
    </row>
    <row r="8" spans="1:2">
      <c r="A8" s="339"/>
      <c r="B8" s="340"/>
    </row>
    <row r="9" spans="1:2">
      <c r="A9" s="339"/>
      <c r="B9" s="19"/>
    </row>
    <row r="10" spans="1:2">
      <c r="A10" s="339"/>
      <c r="B10" s="19"/>
    </row>
    <row r="11" spans="1:2">
      <c r="A11" s="339"/>
      <c r="B11" s="19"/>
    </row>
    <row r="12" spans="1:2">
      <c r="A12" s="339"/>
      <c r="B12" s="19"/>
    </row>
    <row r="13" spans="1:2">
      <c r="A13" s="339"/>
      <c r="B13" s="19"/>
    </row>
    <row r="14" spans="1:2">
      <c r="A14" s="19"/>
      <c r="B14" s="19"/>
    </row>
    <row r="15" spans="1:2">
      <c r="A15" s="19"/>
      <c r="B15" s="19"/>
    </row>
    <row r="16" spans="1:2">
      <c r="A16" s="19"/>
      <c r="B16" s="19"/>
    </row>
    <row r="17" spans="1:2">
      <c r="A17" s="19"/>
      <c r="B17" s="19"/>
    </row>
    <row r="18" spans="1:2">
      <c r="A18" s="19"/>
      <c r="B18" s="19"/>
    </row>
    <row r="19" spans="1:2">
      <c r="A19" s="19"/>
      <c r="B19" s="19"/>
    </row>
    <row r="20" spans="1:2">
      <c r="A20" s="19"/>
      <c r="B20" s="19"/>
    </row>
    <row r="21" spans="1:2">
      <c r="A21" s="19"/>
      <c r="B21" s="19"/>
    </row>
    <row r="22" spans="1:2">
      <c r="A22" s="19"/>
      <c r="B22" s="19"/>
    </row>
    <row r="23" spans="1:2">
      <c r="A23" s="19"/>
      <c r="B23" s="19"/>
    </row>
    <row r="24" spans="1:2">
      <c r="A24" s="19"/>
      <c r="B24" s="19"/>
    </row>
    <row r="25" spans="1:2">
      <c r="A25" s="19"/>
      <c r="B25" s="19"/>
    </row>
    <row r="26" spans="1:2">
      <c r="A26" s="19"/>
      <c r="B26" s="19"/>
    </row>
    <row r="27" spans="1:2">
      <c r="A27" s="19"/>
      <c r="B27" s="19"/>
    </row>
    <row r="28" spans="1:2">
      <c r="A28" s="19"/>
      <c r="B28" s="19"/>
    </row>
    <row r="29" spans="1:2">
      <c r="A29" s="19"/>
      <c r="B29" s="19"/>
    </row>
    <row r="30" spans="1:2">
      <c r="A30" s="19"/>
      <c r="B30" s="19"/>
    </row>
    <row r="31" spans="1:2">
      <c r="A31" s="19"/>
      <c r="B31" s="19"/>
    </row>
    <row r="32" spans="1:2">
      <c r="A32" s="19"/>
      <c r="B32" s="19"/>
    </row>
    <row r="33" spans="1:2">
      <c r="A33" s="19"/>
      <c r="B33" s="19"/>
    </row>
    <row r="34" spans="1:2">
      <c r="A34" s="19"/>
      <c r="B34" s="19"/>
    </row>
    <row r="35" spans="1:2">
      <c r="A35" s="19"/>
      <c r="B35" s="19"/>
    </row>
    <row r="36" spans="1:2">
      <c r="A36" s="19"/>
      <c r="B36" s="19"/>
    </row>
    <row r="37" spans="1:2">
      <c r="A37" s="19"/>
      <c r="B37" s="19"/>
    </row>
    <row r="38" spans="1:2">
      <c r="A38" s="19"/>
      <c r="B38" s="19"/>
    </row>
    <row r="39" spans="1:2">
      <c r="A39" s="19"/>
      <c r="B39" s="19"/>
    </row>
    <row r="40" spans="1:2">
      <c r="A40" s="19"/>
      <c r="B40" s="19"/>
    </row>
    <row r="41" spans="1:2">
      <c r="A41" s="19"/>
      <c r="B41" s="19"/>
    </row>
    <row r="42" spans="1:2">
      <c r="A42" s="19"/>
      <c r="B42" s="19"/>
    </row>
    <row r="43" spans="1:2">
      <c r="A43" s="19"/>
      <c r="B43" s="19"/>
    </row>
    <row r="44" spans="1:2">
      <c r="A44" s="19"/>
      <c r="B44" s="19"/>
    </row>
    <row r="45" spans="1:2">
      <c r="A45" s="19"/>
      <c r="B45" s="19"/>
    </row>
    <row r="46" spans="1:2">
      <c r="A46" s="19"/>
      <c r="B46" s="19"/>
    </row>
    <row r="47" spans="1:2">
      <c r="A47" s="19"/>
      <c r="B47" s="19"/>
    </row>
    <row r="48" spans="1:2">
      <c r="A48" s="19"/>
      <c r="B48" s="19"/>
    </row>
    <row r="49" spans="1:2">
      <c r="A49" s="19"/>
      <c r="B49" s="19"/>
    </row>
    <row r="50" spans="1:2">
      <c r="A50" s="19"/>
      <c r="B50" s="19"/>
    </row>
    <row r="51" spans="1:2">
      <c r="A51" s="19"/>
      <c r="B51" s="19"/>
    </row>
    <row r="52" spans="1:2">
      <c r="A52" s="19"/>
      <c r="B52" s="19"/>
    </row>
    <row r="53" spans="1:2">
      <c r="A53" s="19"/>
      <c r="B53" s="19"/>
    </row>
    <row r="54" spans="1:2">
      <c r="A54" s="19"/>
      <c r="B54" s="19"/>
    </row>
    <row r="55" spans="1:2">
      <c r="A55" s="19"/>
      <c r="B55" s="19"/>
    </row>
    <row r="56" spans="1:2">
      <c r="A56" s="19"/>
      <c r="B56" s="19"/>
    </row>
    <row r="57" spans="1:2">
      <c r="A57" s="19"/>
      <c r="B57" s="19"/>
    </row>
    <row r="58" spans="1:2">
      <c r="A58" s="19"/>
      <c r="B58" s="19"/>
    </row>
    <row r="59" spans="1:2">
      <c r="A59" s="19"/>
      <c r="B59" s="19"/>
    </row>
    <row r="60" spans="1:2">
      <c r="A60" s="19"/>
      <c r="B60" s="19"/>
    </row>
    <row r="61" spans="1:2">
      <c r="A61" s="19"/>
      <c r="B61" s="19"/>
    </row>
    <row r="62" spans="1:2">
      <c r="A62" s="19"/>
      <c r="B62" s="19"/>
    </row>
    <row r="63" spans="1:2">
      <c r="A63" s="19"/>
      <c r="B63" s="19"/>
    </row>
    <row r="64" spans="1:2">
      <c r="A64" s="19"/>
      <c r="B64" s="19"/>
    </row>
    <row r="65" spans="1:2">
      <c r="A65" s="19"/>
      <c r="B65" s="19"/>
    </row>
    <row r="66" spans="1:2">
      <c r="A66" s="19"/>
      <c r="B66" s="19"/>
    </row>
    <row r="67" spans="1:2">
      <c r="A67" s="19"/>
      <c r="B67" s="19"/>
    </row>
    <row r="68" spans="1:2">
      <c r="A68" s="19"/>
      <c r="B68" s="19"/>
    </row>
    <row r="69" spans="1:2">
      <c r="A69" s="19"/>
      <c r="B69" s="19"/>
    </row>
    <row r="70" spans="1:2">
      <c r="A70" s="19"/>
      <c r="B70" s="19"/>
    </row>
  </sheetData>
  <sheetProtection password="C3C4" sheet="1" objects="1" scenarios="1"/>
  <customSheetViews>
    <customSheetView guid="{89953FCB-456A-4C2D-8912-B30825F750D3}" fitToPage="1" state="hidden">
      <selection activeCell="B38" sqref="B38"/>
      <pageMargins left="0" right="0" top="0" bottom="0" header="0" footer="0"/>
      <pageSetup scale="83" fitToHeight="7" orientation="landscape" r:id="rId1"/>
    </customSheetView>
  </customSheetViews>
  <pageMargins left="0.7" right="0.7" top="0.75" bottom="0.75" header="0.3" footer="0.3"/>
  <pageSetup scale="83" fitToHeight="7"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B1:O63"/>
  <sheetViews>
    <sheetView showGridLines="0" zoomScale="75" zoomScaleNormal="75" workbookViewId="0"/>
  </sheetViews>
  <sheetFormatPr defaultRowHeight="13.2"/>
  <cols>
    <col min="1" max="1" width="2.44140625" customWidth="1"/>
    <col min="2" max="2" width="97.44140625" customWidth="1"/>
    <col min="3" max="3" width="7.5546875" customWidth="1"/>
    <col min="4" max="5" width="7.88671875" customWidth="1"/>
    <col min="6" max="6" width="2.5546875" customWidth="1"/>
    <col min="7" max="7" width="20.6640625" customWidth="1"/>
    <col min="8" max="9" width="30.6640625" customWidth="1"/>
    <col min="10" max="10" width="11.6640625" bestFit="1" customWidth="1"/>
    <col min="11" max="11" width="5.109375" customWidth="1"/>
    <col min="12" max="12" width="93.6640625" bestFit="1" customWidth="1"/>
  </cols>
  <sheetData>
    <row r="1" spans="2:15" ht="21">
      <c r="B1" s="588" t="s">
        <v>1071</v>
      </c>
      <c r="C1" s="589"/>
      <c r="D1" s="589"/>
      <c r="E1" s="589"/>
      <c r="F1" s="589"/>
      <c r="G1" s="589"/>
      <c r="H1" s="590"/>
      <c r="I1" s="15" t="s">
        <v>1072</v>
      </c>
      <c r="J1" s="15"/>
      <c r="K1" s="15"/>
      <c r="L1" s="397"/>
      <c r="M1" s="15"/>
      <c r="N1" s="397"/>
      <c r="O1" s="397"/>
    </row>
    <row r="2" spans="2:15" ht="13.8" thickBot="1">
      <c r="B2" s="245"/>
      <c r="C2" s="397"/>
      <c r="D2" s="397"/>
      <c r="E2" s="397"/>
      <c r="F2" s="397"/>
      <c r="G2" s="397"/>
      <c r="H2" s="246"/>
      <c r="I2" s="397"/>
      <c r="J2" s="397"/>
      <c r="K2" s="397"/>
      <c r="L2" s="397"/>
      <c r="M2" s="397"/>
      <c r="N2" s="397"/>
      <c r="O2" s="397"/>
    </row>
    <row r="3" spans="2:15">
      <c r="B3" s="247" t="s">
        <v>1073</v>
      </c>
      <c r="C3" s="556"/>
      <c r="D3" s="556"/>
      <c r="E3" s="556"/>
      <c r="F3" s="556"/>
      <c r="G3" s="248" t="s">
        <v>1074</v>
      </c>
      <c r="H3" s="249"/>
      <c r="I3" s="397"/>
      <c r="J3" s="397"/>
      <c r="K3" s="397"/>
      <c r="L3" s="397"/>
      <c r="M3" s="397"/>
      <c r="N3" s="397"/>
      <c r="O3" s="397"/>
    </row>
    <row r="4" spans="2:15" ht="13.8" thickBot="1">
      <c r="B4" s="250"/>
      <c r="C4" s="251"/>
      <c r="D4" s="251"/>
      <c r="E4" s="251"/>
      <c r="F4" s="251"/>
      <c r="G4" s="252" t="s">
        <v>1075</v>
      </c>
      <c r="H4" s="253"/>
      <c r="I4" s="397"/>
      <c r="J4" s="397"/>
      <c r="K4" s="397"/>
      <c r="L4" s="397"/>
      <c r="M4" s="397"/>
      <c r="N4" s="397"/>
      <c r="O4" s="397"/>
    </row>
    <row r="5" spans="2:15" ht="16.2" thickBot="1">
      <c r="B5" s="39"/>
      <c r="C5" s="251"/>
      <c r="D5" s="251"/>
      <c r="E5" s="251"/>
      <c r="F5" s="251"/>
      <c r="G5" s="58" t="s">
        <v>248</v>
      </c>
      <c r="H5" s="254"/>
      <c r="I5" s="255" t="s">
        <v>1076</v>
      </c>
      <c r="J5" s="161"/>
      <c r="K5" s="397"/>
      <c r="L5" s="397"/>
      <c r="M5" s="397"/>
      <c r="N5" s="397"/>
      <c r="O5" s="397"/>
    </row>
    <row r="6" spans="2:15">
      <c r="B6" s="245"/>
      <c r="C6" s="251"/>
      <c r="D6" s="251"/>
      <c r="E6" s="251"/>
      <c r="F6" s="251"/>
      <c r="G6" s="397"/>
      <c r="H6" s="397"/>
      <c r="I6" s="256" t="s">
        <v>1077</v>
      </c>
      <c r="J6" s="346"/>
      <c r="K6" s="397"/>
      <c r="L6" s="397"/>
      <c r="M6" s="397"/>
      <c r="N6" s="397"/>
      <c r="O6" s="397"/>
    </row>
    <row r="7" spans="2:15" ht="13.8" thickBot="1">
      <c r="B7" s="247" t="s">
        <v>1078</v>
      </c>
      <c r="C7" s="556"/>
      <c r="D7" s="556"/>
      <c r="E7" s="556"/>
      <c r="F7" s="556"/>
      <c r="G7" s="397"/>
      <c r="H7" s="257" t="s">
        <v>1079</v>
      </c>
      <c r="I7" s="258" t="s">
        <v>1080</v>
      </c>
      <c r="J7" s="162"/>
      <c r="K7" s="397"/>
      <c r="L7" s="397"/>
      <c r="M7" s="397"/>
      <c r="N7" s="397"/>
      <c r="O7" s="397"/>
    </row>
    <row r="8" spans="2:15">
      <c r="B8" s="304"/>
      <c r="C8" s="259"/>
      <c r="D8" s="259"/>
      <c r="E8" s="259"/>
      <c r="F8" s="259"/>
      <c r="G8" s="397"/>
      <c r="H8" s="260"/>
      <c r="I8" s="397"/>
      <c r="J8" s="397"/>
      <c r="K8" s="397"/>
      <c r="L8" s="397"/>
      <c r="M8" s="397"/>
      <c r="N8" s="397"/>
      <c r="O8" s="397"/>
    </row>
    <row r="9" spans="2:15" ht="15.6">
      <c r="B9" s="305"/>
      <c r="C9" s="261"/>
      <c r="D9" s="261"/>
      <c r="E9" s="261"/>
      <c r="F9" s="261"/>
      <c r="G9" s="397"/>
      <c r="H9" s="30"/>
      <c r="I9" s="397"/>
      <c r="J9" s="397"/>
      <c r="K9" s="397"/>
      <c r="L9" s="397"/>
      <c r="M9" s="397"/>
      <c r="N9" s="397"/>
      <c r="O9" s="397"/>
    </row>
    <row r="10" spans="2:15">
      <c r="B10" s="245"/>
      <c r="C10" s="397"/>
      <c r="D10" s="397"/>
      <c r="E10" s="397"/>
      <c r="F10" s="397"/>
      <c r="G10" s="397"/>
      <c r="H10" s="246"/>
      <c r="I10" s="397"/>
      <c r="J10" s="397"/>
      <c r="K10" s="397"/>
      <c r="L10" s="397"/>
      <c r="M10" s="397"/>
      <c r="N10" s="575"/>
      <c r="O10" s="575"/>
    </row>
    <row r="11" spans="2:15">
      <c r="B11" s="214" t="s">
        <v>1081</v>
      </c>
      <c r="C11" s="397"/>
      <c r="D11" s="397"/>
      <c r="E11" s="397"/>
      <c r="F11" s="397"/>
      <c r="G11" s="397"/>
      <c r="H11" s="246"/>
      <c r="I11" s="397"/>
      <c r="J11" s="397"/>
      <c r="K11" s="397"/>
      <c r="L11" s="397"/>
      <c r="M11" s="397"/>
      <c r="N11" s="397"/>
      <c r="O11" s="397"/>
    </row>
    <row r="12" spans="2:15">
      <c r="B12" s="214" t="s">
        <v>1082</v>
      </c>
      <c r="C12" s="397"/>
      <c r="D12" s="397"/>
      <c r="E12" s="397"/>
      <c r="F12" s="397"/>
      <c r="G12" s="397"/>
      <c r="H12" s="246"/>
      <c r="I12" s="397"/>
      <c r="J12" s="397"/>
      <c r="K12" s="397"/>
      <c r="L12" s="397"/>
      <c r="M12" s="397"/>
      <c r="N12" s="397"/>
      <c r="O12" s="397"/>
    </row>
    <row r="13" spans="2:15">
      <c r="B13" s="214" t="s">
        <v>1083</v>
      </c>
      <c r="C13" s="397"/>
      <c r="D13" s="397"/>
      <c r="E13" s="397"/>
      <c r="F13" s="397"/>
      <c r="G13" s="397"/>
      <c r="H13" s="246"/>
      <c r="I13" s="397"/>
      <c r="J13" s="397"/>
      <c r="K13" s="397"/>
      <c r="L13" s="397"/>
      <c r="M13" s="397"/>
      <c r="N13" s="397"/>
      <c r="O13" s="397"/>
    </row>
    <row r="14" spans="2:15">
      <c r="B14" s="245"/>
      <c r="C14" s="397"/>
      <c r="D14" s="397"/>
      <c r="E14" s="397"/>
      <c r="F14" s="397"/>
      <c r="G14" s="397"/>
      <c r="H14" s="246"/>
      <c r="I14" s="397"/>
      <c r="J14" s="397"/>
      <c r="K14" s="397"/>
      <c r="L14" s="397"/>
      <c r="M14" s="397"/>
      <c r="N14" s="397"/>
      <c r="O14" s="397"/>
    </row>
    <row r="15" spans="2:15">
      <c r="B15" s="245"/>
      <c r="C15" s="397"/>
      <c r="D15" s="397"/>
      <c r="E15" s="397"/>
      <c r="F15" s="397"/>
      <c r="G15" s="397"/>
      <c r="H15" s="246"/>
      <c r="I15" s="397"/>
      <c r="J15" s="397"/>
      <c r="K15" s="397"/>
      <c r="L15" s="397"/>
      <c r="M15" s="397"/>
      <c r="N15" s="397"/>
      <c r="O15" s="397"/>
    </row>
    <row r="16" spans="2:15" ht="27" customHeight="1">
      <c r="B16" s="262" t="s">
        <v>1084</v>
      </c>
      <c r="C16" s="156"/>
      <c r="D16" s="156"/>
      <c r="E16" s="156"/>
      <c r="F16" s="156"/>
      <c r="G16" s="397"/>
      <c r="H16" s="263">
        <f>SUM(G29:G53)</f>
        <v>0</v>
      </c>
      <c r="I16" s="264"/>
      <c r="J16" s="264"/>
      <c r="K16" s="264"/>
      <c r="L16" s="397"/>
      <c r="M16" s="397"/>
      <c r="N16" s="397"/>
      <c r="O16" s="397"/>
    </row>
    <row r="17" spans="2:14">
      <c r="B17" s="245"/>
      <c r="C17" s="397"/>
      <c r="D17" s="397"/>
      <c r="E17" s="397"/>
      <c r="F17" s="397"/>
      <c r="G17" s="397"/>
      <c r="H17" s="246"/>
      <c r="I17" s="397"/>
      <c r="J17" s="397"/>
      <c r="K17" s="397"/>
      <c r="L17" s="397"/>
      <c r="M17" s="397"/>
      <c r="N17" s="397"/>
    </row>
    <row r="18" spans="2:14">
      <c r="B18" s="245"/>
      <c r="C18" s="397"/>
      <c r="D18" s="397"/>
      <c r="E18" s="397"/>
      <c r="F18" s="397"/>
      <c r="G18" s="397"/>
      <c r="H18" s="246"/>
      <c r="I18" s="397"/>
      <c r="J18" s="397"/>
      <c r="K18" s="397"/>
      <c r="L18" s="397"/>
      <c r="M18" s="397"/>
      <c r="N18" s="397"/>
    </row>
    <row r="19" spans="2:14">
      <c r="B19" s="576" t="s">
        <v>1085</v>
      </c>
      <c r="C19" s="577"/>
      <c r="D19" s="578"/>
      <c r="E19" s="556"/>
      <c r="F19" s="556"/>
      <c r="G19" s="397"/>
      <c r="H19" s="265" t="s">
        <v>1086</v>
      </c>
      <c r="I19" s="556"/>
      <c r="J19" s="556"/>
      <c r="K19" s="556"/>
      <c r="L19" s="397"/>
      <c r="M19" s="397"/>
      <c r="N19" s="397"/>
    </row>
    <row r="20" spans="2:14" ht="15">
      <c r="B20" s="579"/>
      <c r="C20" s="580"/>
      <c r="D20" s="581"/>
      <c r="E20" s="397"/>
      <c r="F20" s="397"/>
      <c r="G20" s="397"/>
      <c r="H20" s="26"/>
      <c r="I20" s="266"/>
      <c r="J20" s="266"/>
      <c r="K20" s="266"/>
      <c r="L20" s="397"/>
      <c r="M20" s="397"/>
      <c r="N20" s="397"/>
    </row>
    <row r="21" spans="2:14">
      <c r="B21" s="582"/>
      <c r="C21" s="583"/>
      <c r="D21" s="584"/>
      <c r="E21" s="17"/>
      <c r="F21" s="17"/>
      <c r="G21" s="397"/>
      <c r="H21" s="27"/>
      <c r="I21" s="267"/>
      <c r="J21" s="267"/>
      <c r="K21" s="267"/>
      <c r="L21" s="397"/>
      <c r="M21" s="397"/>
      <c r="N21" s="397"/>
    </row>
    <row r="22" spans="2:14" ht="13.8" thickBot="1">
      <c r="B22" s="256"/>
      <c r="C22" s="17"/>
      <c r="D22" s="17"/>
      <c r="E22" s="17"/>
      <c r="F22" s="17"/>
      <c r="G22" s="397"/>
      <c r="H22" s="268"/>
      <c r="I22" s="267"/>
      <c r="J22" s="267"/>
      <c r="K22" s="267"/>
      <c r="L22" s="397"/>
      <c r="M22" s="397"/>
      <c r="N22" s="397"/>
    </row>
    <row r="23" spans="2:14">
      <c r="B23" s="591" t="s">
        <v>1087</v>
      </c>
      <c r="C23" s="592"/>
      <c r="D23" s="592"/>
      <c r="E23" s="592"/>
      <c r="F23" s="592"/>
      <c r="G23" s="593"/>
      <c r="H23" s="268"/>
      <c r="I23" s="12"/>
      <c r="J23" s="267"/>
      <c r="K23" s="267"/>
      <c r="L23" s="397"/>
      <c r="M23" s="397"/>
      <c r="N23" s="397"/>
    </row>
    <row r="24" spans="2:14">
      <c r="B24" s="594"/>
      <c r="C24" s="595"/>
      <c r="D24" s="595"/>
      <c r="E24" s="595"/>
      <c r="F24" s="595"/>
      <c r="G24" s="596"/>
      <c r="H24" s="246"/>
      <c r="I24" s="397"/>
      <c r="J24" s="397"/>
      <c r="K24" s="397"/>
      <c r="L24" s="397"/>
      <c r="M24" s="397"/>
      <c r="N24" s="397"/>
    </row>
    <row r="25" spans="2:14" ht="13.8" thickBot="1">
      <c r="B25" s="597"/>
      <c r="C25" s="598"/>
      <c r="D25" s="598"/>
      <c r="E25" s="598"/>
      <c r="F25" s="598"/>
      <c r="G25" s="599"/>
      <c r="H25" s="208"/>
      <c r="I25" s="397"/>
      <c r="J25" s="397"/>
      <c r="K25" s="397"/>
      <c r="L25" s="397"/>
      <c r="M25" s="397"/>
      <c r="N25" s="397"/>
    </row>
    <row r="28" spans="2:14" ht="13.8" thickBot="1">
      <c r="B28" s="204" t="s">
        <v>1088</v>
      </c>
      <c r="C28" s="585" t="s">
        <v>1089</v>
      </c>
      <c r="D28" s="586"/>
      <c r="E28" s="587"/>
      <c r="F28" s="204"/>
      <c r="G28" s="557" t="s">
        <v>1090</v>
      </c>
      <c r="H28" s="557" t="s">
        <v>1091</v>
      </c>
      <c r="I28" s="555" t="s">
        <v>1092</v>
      </c>
      <c r="J28" s="555" t="s">
        <v>1093</v>
      </c>
      <c r="K28" s="347"/>
      <c r="L28" s="397"/>
      <c r="M28" s="397"/>
      <c r="N28" s="397"/>
    </row>
    <row r="29" spans="2:14" s="2" customFormat="1" ht="20.100000000000001" customHeight="1">
      <c r="B29" s="269" t="s">
        <v>1094</v>
      </c>
      <c r="C29" s="270">
        <v>11619</v>
      </c>
      <c r="D29" s="36" t="e">
        <f>LOOKUP(B$5,CAUTAU,Allocations!C$4:C$92)</f>
        <v>#N/A</v>
      </c>
      <c r="E29" s="271">
        <v>9000</v>
      </c>
      <c r="F29" s="269"/>
      <c r="G29" s="272">
        <f>'III-B - #11619'!B35</f>
        <v>0</v>
      </c>
      <c r="H29" s="272">
        <f>'III-B - #11619'!C35</f>
        <v>0</v>
      </c>
      <c r="I29" s="272" t="e">
        <f>'III-B - #11619'!F6</f>
        <v>#N/A</v>
      </c>
      <c r="J29" s="273">
        <f>IF(H29=0,0,H29/I29)</f>
        <v>0</v>
      </c>
      <c r="K29" s="17" t="str">
        <f>IF(OR('III-B - #11619'!N1="x",'III-B - #11619'!N2="x"),"X","")</f>
        <v/>
      </c>
      <c r="L29" s="1" t="str">
        <f t="shared" ref="L29:L51" si="0">IF(K29="X","There are errors on this form, please correct before submitting.","")</f>
        <v/>
      </c>
      <c r="N29" s="17"/>
    </row>
    <row r="30" spans="2:14" s="2" customFormat="1" ht="20.100000000000001" customHeight="1">
      <c r="B30" s="274" t="s">
        <v>1095</v>
      </c>
      <c r="C30" s="275">
        <v>12019</v>
      </c>
      <c r="D30" s="37" t="e">
        <f>LOOKUP(B$5,CAUTAU,Allocations!C$4:C$92)</f>
        <v>#N/A</v>
      </c>
      <c r="E30" s="276">
        <v>9000</v>
      </c>
      <c r="F30" s="274"/>
      <c r="G30" s="272">
        <f>'III-C 1 - #12019'!B35</f>
        <v>0</v>
      </c>
      <c r="H30" s="272">
        <f>'III-C 1 - #12019'!C35</f>
        <v>0</v>
      </c>
      <c r="I30" s="277" t="e">
        <f>'III-C 1 - #12019'!F6</f>
        <v>#N/A</v>
      </c>
      <c r="J30" s="278">
        <f t="shared" ref="J30:J49" si="1">IF(H30=0,0,H30/I30)</f>
        <v>0</v>
      </c>
      <c r="K30" s="17" t="str">
        <f>IF(OR('III-C 1 - #12019'!N1="x",'III-C 1 - #12019'!N2="x"),"X","")</f>
        <v/>
      </c>
      <c r="L30" s="1" t="str">
        <f t="shared" si="0"/>
        <v/>
      </c>
      <c r="N30" s="17"/>
    </row>
    <row r="31" spans="2:14" s="2" customFormat="1" ht="20.100000000000001" customHeight="1">
      <c r="B31" s="274" t="s">
        <v>1096</v>
      </c>
      <c r="C31" s="275">
        <v>12119</v>
      </c>
      <c r="D31" s="37" t="e">
        <f>LOOKUP(B$5,CAUTAU,Allocations!C$4:C$92)</f>
        <v>#N/A</v>
      </c>
      <c r="E31" s="276">
        <v>9000</v>
      </c>
      <c r="F31" s="274"/>
      <c r="G31" s="272">
        <f>'III-C2 - #12119'!B35</f>
        <v>0</v>
      </c>
      <c r="H31" s="272">
        <f>'III-C2 - #12119'!C35</f>
        <v>0</v>
      </c>
      <c r="I31" s="277" t="e">
        <f>'III-C2 - #12119'!F6</f>
        <v>#N/A</v>
      </c>
      <c r="J31" s="278">
        <f t="shared" si="1"/>
        <v>0</v>
      </c>
      <c r="K31" s="17" t="str">
        <f>IF(OR('III-C2 - #12119'!N1="x",'III-C2 - #12119'!N2="x"),"X","")</f>
        <v/>
      </c>
      <c r="L31" s="1" t="str">
        <f t="shared" si="0"/>
        <v/>
      </c>
      <c r="N31" s="17"/>
    </row>
    <row r="32" spans="2:14" s="2" customFormat="1" ht="20.100000000000001" customHeight="1">
      <c r="B32" s="285" t="s">
        <v>1097</v>
      </c>
      <c r="C32" s="275">
        <v>13219</v>
      </c>
      <c r="D32" s="37" t="e">
        <f>LOOKUP(B$5,CAUTAU,Allocations!C$4:C$92)</f>
        <v>#N/A</v>
      </c>
      <c r="E32" s="276">
        <v>9000</v>
      </c>
      <c r="F32" s="274"/>
      <c r="G32" s="272">
        <f>'NSIP 18-19 - #13219'!B35</f>
        <v>0</v>
      </c>
      <c r="H32" s="272">
        <f>'NSIP 18-19 - #13219'!C35</f>
        <v>0</v>
      </c>
      <c r="I32" s="277" t="e">
        <f>'NSIP 18-19 - #13219'!F6</f>
        <v>#N/A</v>
      </c>
      <c r="J32" s="278">
        <f t="shared" ref="J32" si="2">IF(H32=0,0,H32/I32)</f>
        <v>0</v>
      </c>
      <c r="K32" s="17" t="str">
        <f>IF(OR('NSIP 18-19 - #13219'!N2="x",'NSIP 18-19 - #13219'!N1="x"),"X","")</f>
        <v/>
      </c>
      <c r="L32" s="1" t="str">
        <f t="shared" si="0"/>
        <v/>
      </c>
      <c r="N32" s="17"/>
    </row>
    <row r="33" spans="2:14" s="2" customFormat="1" ht="20.100000000000001" customHeight="1">
      <c r="B33" s="279" t="s">
        <v>1098</v>
      </c>
      <c r="C33" s="298">
        <v>13218</v>
      </c>
      <c r="D33" s="297" t="e">
        <f>LOOKUP(B$5,CAUTAU,Allocations!C$4:C$92)</f>
        <v>#N/A</v>
      </c>
      <c r="E33" s="299">
        <v>9000</v>
      </c>
      <c r="F33" s="281"/>
      <c r="G33" s="282">
        <f>'NSIP 17-18 - #13218'!B35</f>
        <v>0</v>
      </c>
      <c r="H33" s="282">
        <f>'NSIP 17-18 - #13218'!C35</f>
        <v>0</v>
      </c>
      <c r="I33" s="283" t="e">
        <f>'NSIP 17-18 - #13218'!F6</f>
        <v>#N/A</v>
      </c>
      <c r="J33" s="284">
        <f t="shared" si="1"/>
        <v>0</v>
      </c>
      <c r="K33" s="17" t="str">
        <f>IF(OR('NSIP 17-18 - #13218'!N1="x",'NSIP 17-18 - #13218'!N2="x"),"X","")</f>
        <v/>
      </c>
      <c r="L33" s="1" t="str">
        <f t="shared" si="0"/>
        <v/>
      </c>
    </row>
    <row r="34" spans="2:14" s="2" customFormat="1" ht="20.100000000000001" customHeight="1">
      <c r="B34" s="274" t="s">
        <v>1099</v>
      </c>
      <c r="C34" s="275">
        <v>12419</v>
      </c>
      <c r="D34" s="37" t="e">
        <f>LOOKUP(B$5,CAUTAU,Allocations!C$4:C$92)</f>
        <v>#N/A</v>
      </c>
      <c r="E34" s="276">
        <v>9000</v>
      </c>
      <c r="F34" s="274"/>
      <c r="G34" s="272">
        <f>'III-D - #12419'!B35</f>
        <v>0</v>
      </c>
      <c r="H34" s="272">
        <f>'III-D - #12419'!C35</f>
        <v>0</v>
      </c>
      <c r="I34" s="277" t="e">
        <f>'III-D - #12419'!F6</f>
        <v>#N/A</v>
      </c>
      <c r="J34" s="278">
        <f t="shared" si="1"/>
        <v>0</v>
      </c>
      <c r="K34" s="17" t="str">
        <f>IF(OR('III-D - #12419'!N1="x",'III-D - #12419'!N2="x"),"X","")</f>
        <v/>
      </c>
      <c r="L34" s="1" t="str">
        <f t="shared" si="0"/>
        <v/>
      </c>
    </row>
    <row r="35" spans="2:14" s="2" customFormat="1" ht="20.100000000000001" customHeight="1">
      <c r="B35" s="274" t="s">
        <v>1100</v>
      </c>
      <c r="C35" s="275">
        <v>12519</v>
      </c>
      <c r="D35" s="37" t="e">
        <f>LOOKUP(B$5,CAUTAU,Allocations!C$4:C$92)</f>
        <v>#N/A</v>
      </c>
      <c r="E35" s="276">
        <v>9000</v>
      </c>
      <c r="F35" s="274"/>
      <c r="G35" s="272">
        <f>'III-E - #12519'!B38</f>
        <v>0</v>
      </c>
      <c r="H35" s="272">
        <f>'III-E - #12519'!C38</f>
        <v>0</v>
      </c>
      <c r="I35" s="277" t="e">
        <f>'III-E - #12519'!F6</f>
        <v>#N/A</v>
      </c>
      <c r="J35" s="278">
        <f t="shared" si="1"/>
        <v>0</v>
      </c>
      <c r="K35" s="17" t="str">
        <f>IF(OR('III-E - #12519'!N1="x",'III-E - #12519'!N2="x"),"X","")</f>
        <v/>
      </c>
      <c r="L35" s="1" t="str">
        <f t="shared" si="0"/>
        <v/>
      </c>
    </row>
    <row r="36" spans="2:14" s="2" customFormat="1" ht="20.100000000000001" customHeight="1">
      <c r="B36" s="274" t="s">
        <v>1101</v>
      </c>
      <c r="C36" s="275">
        <v>12219</v>
      </c>
      <c r="D36" s="37" t="e">
        <f>LOOKUP(B$5,CAUTAU,Allocations!C$4:C$92)</f>
        <v>#N/A</v>
      </c>
      <c r="E36" s="276">
        <v>9000</v>
      </c>
      <c r="F36" s="274"/>
      <c r="G36" s="272">
        <f>'Alzheimers FC Support - #12219'!B35</f>
        <v>0</v>
      </c>
      <c r="H36" s="272">
        <f>'Alzheimers FC Support - #12219'!C35</f>
        <v>0</v>
      </c>
      <c r="I36" s="277" t="e">
        <f>'Alzheimers FC Support - #12219'!F6</f>
        <v>#N/A</v>
      </c>
      <c r="J36" s="278">
        <f t="shared" si="1"/>
        <v>0</v>
      </c>
      <c r="K36" s="17" t="str">
        <f>IF(OR('Alzheimers FC Support - #12219'!N1="x",'Alzheimers FC Support - #12219'!N2="x"),"X","")</f>
        <v/>
      </c>
      <c r="L36" s="1" t="str">
        <f>IF(K36="X","There are errors on this form, please correct before submitting.","")</f>
        <v/>
      </c>
    </row>
    <row r="37" spans="2:14" s="2" customFormat="1" ht="20.100000000000001" customHeight="1">
      <c r="B37" s="274" t="s">
        <v>1102</v>
      </c>
      <c r="C37" s="275">
        <v>11519</v>
      </c>
      <c r="D37" s="37" t="e">
        <f>LOOKUP(B$5,CAUTAU,Allocations!C$4:C$92)</f>
        <v>#N/A</v>
      </c>
      <c r="E37" s="276">
        <v>9000</v>
      </c>
      <c r="F37" s="274"/>
      <c r="G37" s="272">
        <f>'SCS - #11519'!B35</f>
        <v>0</v>
      </c>
      <c r="H37" s="272">
        <f>'SCS - #11519'!C35</f>
        <v>0</v>
      </c>
      <c r="I37" s="277" t="e">
        <f>'SCS - #11519'!F6</f>
        <v>#N/A</v>
      </c>
      <c r="J37" s="278">
        <f t="shared" si="1"/>
        <v>0</v>
      </c>
      <c r="K37" s="17" t="str">
        <f>IF(OR('SCS - #11519'!N1="x",'SCS - #11519'!N2="x"),"X","")</f>
        <v/>
      </c>
      <c r="L37" s="1" t="str">
        <f t="shared" si="0"/>
        <v/>
      </c>
      <c r="N37" s="17"/>
    </row>
    <row r="38" spans="2:14" s="2" customFormat="1" ht="20.100000000000001" customHeight="1">
      <c r="B38" s="274" t="s">
        <v>1103</v>
      </c>
      <c r="C38" s="275">
        <v>72019</v>
      </c>
      <c r="D38" s="37" t="e">
        <f>LOOKUP(B$5,CAUTAU,Allocations!C$4:C$92)</f>
        <v>#N/A</v>
      </c>
      <c r="E38" s="276">
        <v>9000</v>
      </c>
      <c r="F38" s="274"/>
      <c r="G38" s="272">
        <f>'Benefit Spec I&amp;A Repl #72019'!B35</f>
        <v>0</v>
      </c>
      <c r="H38" s="272">
        <f>'Benefit Spec I&amp;A Repl #72019'!C35</f>
        <v>0</v>
      </c>
      <c r="I38" s="277"/>
      <c r="J38" s="278"/>
      <c r="K38" s="17" t="str">
        <f>IF(OR('Benefit Spec I&amp;A Repl #72019'!N1="x",'Benefit Spec I&amp;A Repl #72019'!N2="x"),"X","")</f>
        <v/>
      </c>
      <c r="L38" s="1" t="str">
        <f t="shared" si="0"/>
        <v/>
      </c>
    </row>
    <row r="39" spans="2:14" s="2" customFormat="1" ht="20.100000000000001" customHeight="1">
      <c r="B39" s="274" t="s">
        <v>1104</v>
      </c>
      <c r="C39" s="275">
        <v>73019</v>
      </c>
      <c r="D39" s="37" t="e">
        <f>LOOKUP(B$5,CAUTAU,Allocations!C$4:C$92)</f>
        <v>#N/A</v>
      </c>
      <c r="E39" s="276">
        <v>9000</v>
      </c>
      <c r="F39" s="274"/>
      <c r="G39" s="272">
        <f>'Ben Spec Other Repl - #73019'!B35</f>
        <v>0</v>
      </c>
      <c r="H39" s="272">
        <f>'Ben Spec Other Repl - #73019'!C35</f>
        <v>0</v>
      </c>
      <c r="I39" s="277" t="e">
        <f>'Ben Spec Other Repl - #73019'!F6</f>
        <v>#N/A</v>
      </c>
      <c r="J39" s="278">
        <f>IF(H39+H38=0,0,(H39+H38)/I39)</f>
        <v>0</v>
      </c>
      <c r="K39" s="17" t="str">
        <f>IF(OR('Ben Spec Other Repl - #73019'!N1="x",'Ben Spec Other Repl - #73019'!N2="x"),"X","")</f>
        <v/>
      </c>
      <c r="L39" s="1" t="str">
        <f t="shared" si="0"/>
        <v/>
      </c>
    </row>
    <row r="40" spans="2:14" s="2" customFormat="1" ht="20.100000000000001" customHeight="1">
      <c r="B40" s="274" t="s">
        <v>1105</v>
      </c>
      <c r="C40" s="275">
        <v>12319</v>
      </c>
      <c r="D40" s="37" t="e">
        <f>LOOKUP(B$5,CAUTAU,Allocations!C$4:C$92)</f>
        <v>#N/A</v>
      </c>
      <c r="E40" s="276">
        <v>9000</v>
      </c>
      <c r="F40" s="274"/>
      <c r="G40" s="272">
        <f>'Elder Abuse - #12319'!B35</f>
        <v>0</v>
      </c>
      <c r="H40" s="272">
        <f>'Elder Abuse - #12319'!C35</f>
        <v>0</v>
      </c>
      <c r="I40" s="277" t="e">
        <f>'Elder Abuse - #12319'!F6</f>
        <v>#N/A</v>
      </c>
      <c r="J40" s="278">
        <f t="shared" si="1"/>
        <v>0</v>
      </c>
      <c r="K40" s="17" t="str">
        <f>IF(OR('Elder Abuse - #12319'!N1="x",'Elder Abuse - #12319'!N2="x"),"X","")</f>
        <v/>
      </c>
      <c r="L40" s="1" t="str">
        <f t="shared" si="0"/>
        <v/>
      </c>
    </row>
    <row r="41" spans="2:14" s="2" customFormat="1" ht="20.100000000000001" customHeight="1">
      <c r="B41" s="285" t="s">
        <v>1106</v>
      </c>
      <c r="C41" s="275">
        <v>13019</v>
      </c>
      <c r="D41" s="37" t="e">
        <f>LOOKUP(B$5,CAUTAU,Allocations!C$4:C$92)</f>
        <v>#N/A</v>
      </c>
      <c r="E41" s="276">
        <v>9000</v>
      </c>
      <c r="F41" s="274"/>
      <c r="G41" s="272">
        <f>'EBS OCI Repl (SPAP)18-19-#13019'!B35</f>
        <v>0</v>
      </c>
      <c r="H41" s="272">
        <f>'EBS OCI Repl (SPAP)18-19-#13019'!C35</f>
        <v>0</v>
      </c>
      <c r="I41" s="286" t="e">
        <f>'EBS OCI Repl (SPAP)18-19-#13019'!F6</f>
        <v>#N/A</v>
      </c>
      <c r="J41" s="287">
        <f>IF(H41+H42+H43=0,0,(H41+H42+H43)/I41)</f>
        <v>0</v>
      </c>
      <c r="K41" s="17" t="str">
        <f>IF(OR('EBS OCI Repl (SPAP)18-19-#13019'!N1="x",'EBS OCI Repl (SPAP)18-19-#13019'!N2="x"),"X","")</f>
        <v/>
      </c>
      <c r="L41" s="1" t="str">
        <f t="shared" ref="L41:L43" si="3">IF(K41="X","There are errors on this form, please correct before submitting.","")</f>
        <v/>
      </c>
    </row>
    <row r="42" spans="2:14" s="2" customFormat="1" ht="20.100000000000001" customHeight="1">
      <c r="B42" s="285" t="s">
        <v>1107</v>
      </c>
      <c r="C42" s="138">
        <v>74009</v>
      </c>
      <c r="D42" s="37" t="e">
        <f>LOOKUP(B$5,CAUTAU,Allocations!C$4:C$92)</f>
        <v>#N/A</v>
      </c>
      <c r="E42" s="276">
        <v>9000</v>
      </c>
      <c r="F42" s="274"/>
      <c r="G42" s="272">
        <f>'EBS OCI Repl 18-19-#74009 75010'!B35</f>
        <v>0</v>
      </c>
      <c r="H42" s="272">
        <f>'EBS OCI Repl 18-19-#74009 75010'!C35</f>
        <v>0</v>
      </c>
      <c r="I42" s="286"/>
      <c r="J42" s="287"/>
      <c r="K42" s="17" t="str">
        <f>IF(OR('EBS OCI Repl 18-19-#74009 75010'!N1="x",'EBS OCI Repl 18-19-#74009 75010'!N2="x"),"X","")</f>
        <v/>
      </c>
      <c r="L42" s="1" t="str">
        <f t="shared" si="3"/>
        <v/>
      </c>
    </row>
    <row r="43" spans="2:14" s="2" customFormat="1" ht="20.100000000000001" customHeight="1">
      <c r="B43" s="285" t="s">
        <v>1108</v>
      </c>
      <c r="C43" s="138">
        <v>75009</v>
      </c>
      <c r="D43" s="37" t="e">
        <f>LOOKUP(B$5,CAUTAU,Allocations!C$4:C$92)</f>
        <v>#N/A</v>
      </c>
      <c r="E43" s="276">
        <v>9000</v>
      </c>
      <c r="F43" s="274"/>
      <c r="G43" s="272">
        <f>'EBS OCI Repl-Othr 18-19-#75009'!B35</f>
        <v>0</v>
      </c>
      <c r="H43" s="272">
        <f>'EBS OCI Repl-Othr 18-19-#75009'!C35</f>
        <v>0</v>
      </c>
      <c r="I43" s="286"/>
      <c r="J43" s="287"/>
      <c r="K43" s="17" t="str">
        <f>IF(OR('EBS OCI Repl-Othr 18-19-#75009'!N1="x",'EBS OCI Repl-Othr 18-19-#75009'!N2="x"),"X","")</f>
        <v/>
      </c>
      <c r="L43" s="1" t="str">
        <f t="shared" si="3"/>
        <v/>
      </c>
    </row>
    <row r="44" spans="2:14" s="2" customFormat="1" ht="20.100000000000001" customHeight="1">
      <c r="B44" s="279" t="s">
        <v>1109</v>
      </c>
      <c r="C44" s="298">
        <v>74009</v>
      </c>
      <c r="D44" s="297" t="e">
        <f>LOOKUP(B$5,CAUTAU,Allocations!C$4:C$92)</f>
        <v>#N/A</v>
      </c>
      <c r="E44" s="299">
        <v>9000</v>
      </c>
      <c r="F44" s="279"/>
      <c r="G44" s="282">
        <f>'EBS OCI Repl 17-18-#74009 75010'!B35</f>
        <v>0</v>
      </c>
      <c r="H44" s="282">
        <f>'EBS OCI Repl 17-18-#74009 75010'!G35</f>
        <v>0</v>
      </c>
      <c r="I44" s="300">
        <v>0</v>
      </c>
      <c r="J44" s="301"/>
      <c r="K44" s="17" t="str">
        <f>IF(OR('EBS OCI Repl 17-18-#74009 75010'!N1="x",'EBS OCI Repl 17-18-#74009 75010'!N2="x"),"X","")</f>
        <v/>
      </c>
      <c r="L44" s="1" t="str">
        <f t="shared" si="0"/>
        <v/>
      </c>
    </row>
    <row r="45" spans="2:14" s="2" customFormat="1" ht="20.100000000000001" customHeight="1">
      <c r="B45" s="279" t="s">
        <v>1110</v>
      </c>
      <c r="C45" s="298">
        <v>75009</v>
      </c>
      <c r="D45" s="297" t="e">
        <f>LOOKUP(B$5,CAUTAU,Allocations!C$4:C$92)</f>
        <v>#N/A</v>
      </c>
      <c r="E45" s="299">
        <v>9000</v>
      </c>
      <c r="F45" s="279"/>
      <c r="G45" s="282">
        <f>'EBS OCI Repl-Othr 17-18-#75009 '!B35</f>
        <v>0</v>
      </c>
      <c r="H45" s="282">
        <f>'EBS OCI Repl-Othr 17-18-#75009 '!G35</f>
        <v>0</v>
      </c>
      <c r="I45" s="300">
        <v>0</v>
      </c>
      <c r="J45" s="301"/>
      <c r="K45" s="17" t="str">
        <f>IF(OR('EBS OCI Repl-Othr 17-18-#75009 '!N1="x",'EBS OCI Repl-Othr 17-18-#75009 '!N2="x"),"X","")</f>
        <v/>
      </c>
      <c r="L45" s="1" t="str">
        <f t="shared" si="0"/>
        <v/>
      </c>
    </row>
    <row r="46" spans="2:14" s="2" customFormat="1" ht="20.100000000000001" customHeight="1">
      <c r="B46" s="279" t="s">
        <v>1111</v>
      </c>
      <c r="C46" s="298">
        <v>13018</v>
      </c>
      <c r="D46" s="297" t="e">
        <f>LOOKUP(B$5,CAUTAU,Allocations!C$4:C$92)</f>
        <v>#N/A</v>
      </c>
      <c r="E46" s="299">
        <v>9000</v>
      </c>
      <c r="F46" s="279"/>
      <c r="G46" s="282">
        <f>'EBS OCI Repl (SPAP)17-18-#13018'!B35</f>
        <v>0</v>
      </c>
      <c r="H46" s="282">
        <f>'EBS OCI Repl (SPAP)17-18-#13018'!G35</f>
        <v>0</v>
      </c>
      <c r="I46" s="300" t="e">
        <f>'EBS OCI Repl (SPAP)17-18-#13018'!F6</f>
        <v>#N/A</v>
      </c>
      <c r="J46" s="301">
        <f>IF(H46+H44+H45=0,0,(H46+H44+H45)/I46)</f>
        <v>0</v>
      </c>
      <c r="K46" s="17" t="str">
        <f>IF(OR('EBS OCI Repl (SPAP)17-18-#13018'!N1="x",'EBS OCI Repl (SPAP)17-18-#13018'!N2="x"),"X","")</f>
        <v/>
      </c>
      <c r="L46" s="1" t="str">
        <f t="shared" si="0"/>
        <v/>
      </c>
      <c r="N46" s="17"/>
    </row>
    <row r="47" spans="2:14" s="2" customFormat="1" ht="20.100000000000001" customHeight="1">
      <c r="B47" s="197" t="s">
        <v>1112</v>
      </c>
      <c r="C47" s="138">
        <v>12719</v>
      </c>
      <c r="D47" s="37" t="e">
        <f>LOOKUP(B$5,CAUTAU,Allocations!C$4:C$92)</f>
        <v>#N/A</v>
      </c>
      <c r="E47" s="276">
        <v>9000</v>
      </c>
      <c r="F47" s="38"/>
      <c r="G47" s="272">
        <f>'SHIP Original 18-19 - #12719'!B35</f>
        <v>0</v>
      </c>
      <c r="H47" s="272">
        <f>'SHIP Original 18-19 - #12719'!C35</f>
        <v>0</v>
      </c>
      <c r="I47" s="286" t="e">
        <f>'SHIP Original 18-19 - #12719'!F6</f>
        <v>#N/A</v>
      </c>
      <c r="J47" s="287">
        <f>IF(H47=0,0,H47/I47)</f>
        <v>0</v>
      </c>
      <c r="K47" s="17" t="str">
        <f>IF(OR('SHIP Original 18-19 - #12719'!N2="x",'SHIP Original 18-19 - #12719'!N1="x"),"X","")</f>
        <v/>
      </c>
      <c r="L47" s="1" t="str">
        <f t="shared" ref="L47" si="4">IF(K47="X","There are errors on this form, please correct before submitting.","")</f>
        <v/>
      </c>
      <c r="N47" s="397"/>
    </row>
    <row r="48" spans="2:14" s="2" customFormat="1" ht="20.100000000000001" customHeight="1">
      <c r="B48" s="341" t="s">
        <v>1113</v>
      </c>
      <c r="C48" s="342">
        <v>12718</v>
      </c>
      <c r="D48" s="297" t="e">
        <f>LOOKUP(B$5,CAUTAU,Allocations!C$4:C$92)</f>
        <v>#N/A</v>
      </c>
      <c r="E48" s="299">
        <v>9000</v>
      </c>
      <c r="F48" s="343"/>
      <c r="G48" s="282">
        <f>'SHIP Original 17-18 - #12718'!B35</f>
        <v>0</v>
      </c>
      <c r="H48" s="282">
        <f>'SHIP Original 17-18 - #12718'!F35</f>
        <v>0</v>
      </c>
      <c r="I48" s="300" t="e">
        <f>'SHIP Original 17-18 - #12718'!F6</f>
        <v>#N/A</v>
      </c>
      <c r="J48" s="301">
        <f>IF(H48=0,0,H48/I48)</f>
        <v>0</v>
      </c>
      <c r="K48" s="17" t="str">
        <f>IF(OR('SHIP Original 17-18 - #12718'!N1="x",'SHIP Original 17-18 - #12718'!N2="x"),"X","")</f>
        <v/>
      </c>
      <c r="L48" s="1" t="str">
        <f t="shared" si="0"/>
        <v/>
      </c>
      <c r="N48" s="397"/>
    </row>
    <row r="49" spans="2:12" s="2" customFormat="1" ht="20.100000000000001" customHeight="1">
      <c r="B49" s="134" t="s">
        <v>1114</v>
      </c>
      <c r="C49" s="135">
        <v>75018</v>
      </c>
      <c r="D49" s="136" t="e">
        <f>LOOKUP(B$5,CAUTAU,Allocations!C$4:C$92)</f>
        <v>#N/A</v>
      </c>
      <c r="E49" s="280">
        <v>7200</v>
      </c>
      <c r="F49" s="134"/>
      <c r="G49" s="282">
        <f>'MIPPA 17-18 - #75018'!B35</f>
        <v>0</v>
      </c>
      <c r="H49" s="282">
        <f>'MIPPA 17-18 - #75018'!F35</f>
        <v>0</v>
      </c>
      <c r="I49" s="283" t="e">
        <f>'MIPPA 17-18 - #75018'!F6</f>
        <v>#N/A</v>
      </c>
      <c r="J49" s="284">
        <f t="shared" si="1"/>
        <v>0</v>
      </c>
      <c r="K49" s="17" t="str">
        <f>IF(OR('MIPPA 17-18 - #75018'!N1="x",'MIPPA 17-18 - #75018'!N2="x"),"X","")</f>
        <v/>
      </c>
      <c r="L49" s="1" t="str">
        <f t="shared" si="0"/>
        <v/>
      </c>
    </row>
    <row r="50" spans="2:12" s="2" customFormat="1" ht="20.100000000000001" customHeight="1">
      <c r="B50" s="38" t="s">
        <v>1115</v>
      </c>
      <c r="C50" s="138">
        <v>75019</v>
      </c>
      <c r="D50" s="37" t="e">
        <f>LOOKUP(B$5,CAUTAU,Allocations!C$4:C$92)</f>
        <v>#N/A</v>
      </c>
      <c r="E50" s="276">
        <v>7200</v>
      </c>
      <c r="F50" s="38"/>
      <c r="G50" s="272">
        <f>'MIPPA 18-19 - #75019'!B35</f>
        <v>0</v>
      </c>
      <c r="H50" s="272">
        <f>'MIPPA 18-19 - #75019'!C35</f>
        <v>0</v>
      </c>
      <c r="I50" s="277" t="e">
        <f>'MIPPA 18-19 - #75019'!F6</f>
        <v>#N/A</v>
      </c>
      <c r="J50" s="278">
        <f t="shared" ref="J50" si="5">IF(H50=0,0,H50/I50)</f>
        <v>0</v>
      </c>
      <c r="K50" s="17" t="str">
        <f>IF(OR('MIPPA 18-19 - #75019'!N2="x",'MIPPA 18-19 - #75019'!N3="x"),"X","")</f>
        <v/>
      </c>
      <c r="L50" s="1" t="str">
        <f t="shared" ref="L50" si="6">IF(K50="X","There are errors on this form, please correct before submitting.","")</f>
        <v/>
      </c>
    </row>
    <row r="51" spans="2:12" s="2" customFormat="1" ht="20.100000000000001" customHeight="1">
      <c r="B51" s="132" t="s">
        <v>1116</v>
      </c>
      <c r="C51" s="110">
        <v>75010</v>
      </c>
      <c r="D51" s="109" t="e">
        <f>LOOKUP(B$5,CAUTAU,Allocations!C$4:C$92)</f>
        <v>#N/A</v>
      </c>
      <c r="E51" s="288">
        <v>9100</v>
      </c>
      <c r="F51" s="274"/>
      <c r="G51" s="293">
        <f>'EBS OCI Repl 18-19-#74009 75010'!E39</f>
        <v>0</v>
      </c>
      <c r="H51" s="293">
        <f>'EBS OCI Repl 18-19-#74009 75010'!H39</f>
        <v>0</v>
      </c>
      <c r="I51" s="294"/>
      <c r="J51" s="294"/>
      <c r="K51" s="17" t="str">
        <f>IF(OR('EBS OCI Repl 18-19-#74009 75010'!N1="x",'EBS OCI Repl 18-19-#74009 75010'!N2="x"),"X","")</f>
        <v/>
      </c>
      <c r="L51" s="1" t="str">
        <f t="shared" si="0"/>
        <v/>
      </c>
    </row>
    <row r="52" spans="2:12" s="2" customFormat="1" ht="20.100000000000001" customHeight="1">
      <c r="B52" s="108" t="s">
        <v>1117</v>
      </c>
      <c r="C52" s="291">
        <v>74010</v>
      </c>
      <c r="D52" s="109" t="e">
        <f>LOOKUP(B$5,CAUTAU,Allocations!C$4:C$92)</f>
        <v>#N/A</v>
      </c>
      <c r="E52" s="288">
        <v>9100</v>
      </c>
      <c r="F52" s="292"/>
      <c r="G52" s="293">
        <f>'Benefit Spec I&amp;A Repl #72019'!E39</f>
        <v>0</v>
      </c>
      <c r="H52" s="293">
        <f>'Benefit Spec I&amp;A Repl #72019'!H39</f>
        <v>0</v>
      </c>
      <c r="I52" s="294"/>
      <c r="J52" s="294"/>
      <c r="K52" s="17" t="str">
        <f>IF(OR('Benefit Spec I&amp;A Repl #72019'!N1="x",'Benefit Spec I&amp;A Repl #72019'!N2="x"),"X","")</f>
        <v/>
      </c>
      <c r="L52" s="1" t="str">
        <f t="shared" ref="L52" si="7">IF(K52="X","There are errors on this form, please correct before submitting.","")</f>
        <v/>
      </c>
    </row>
    <row r="53" spans="2:12" s="2" customFormat="1" ht="20.100000000000001" customHeight="1">
      <c r="B53" s="137" t="s">
        <v>1118</v>
      </c>
      <c r="C53" s="123">
        <v>75010</v>
      </c>
      <c r="D53" s="124" t="e">
        <f>LOOKUP(B$5,CAUTAU,Allocations!C$4:C$92)</f>
        <v>#N/A</v>
      </c>
      <c r="E53" s="289">
        <v>9100</v>
      </c>
      <c r="F53" s="302"/>
      <c r="G53" s="290">
        <f>'EBS OCI Repl 17-18-#74009 75010'!E39</f>
        <v>0</v>
      </c>
      <c r="H53" s="290">
        <f>'EBS OCI Repl 17-18-#74009 75010'!H39</f>
        <v>0</v>
      </c>
      <c r="I53" s="303"/>
      <c r="J53" s="303"/>
      <c r="K53" s="17" t="str">
        <f>IF(OR('EBS OCI Repl 17-18-#74009 75010'!N1="x",'EBS OCI Repl 17-18-#74009 75010'!N2="x"),"X","")</f>
        <v/>
      </c>
      <c r="L53" s="1" t="str">
        <f t="shared" ref="L53" si="8">IF(K53="X","There are errors on this form, please correct before submitting.","")</f>
        <v/>
      </c>
    </row>
    <row r="54" spans="2:12" s="15" customFormat="1" ht="15.6">
      <c r="G54" s="295"/>
      <c r="H54" s="295"/>
      <c r="I54" s="295"/>
      <c r="J54" s="295"/>
      <c r="K54" s="295"/>
      <c r="L54" s="1"/>
    </row>
    <row r="55" spans="2:12" s="15" customFormat="1" ht="15.6">
      <c r="G55" s="296"/>
      <c r="H55" s="296"/>
      <c r="I55" s="296"/>
      <c r="L55" s="1"/>
    </row>
    <row r="56" spans="2:12" s="15" customFormat="1" ht="15.6">
      <c r="L56" s="1"/>
    </row>
    <row r="57" spans="2:12" s="15" customFormat="1" ht="15.6">
      <c r="I57" s="295"/>
      <c r="L57" s="1"/>
    </row>
    <row r="58" spans="2:12" s="15" customFormat="1"/>
    <row r="59" spans="2:12" s="15" customFormat="1"/>
    <row r="60" spans="2:12" s="15" customFormat="1"/>
    <row r="61" spans="2:12" s="15" customFormat="1"/>
    <row r="62" spans="2:12" s="15" customFormat="1"/>
    <row r="63" spans="2:12" s="15" customFormat="1"/>
  </sheetData>
  <sheetProtection password="C3C4" sheet="1" objects="1" scenarios="1"/>
  <customSheetViews>
    <customSheetView guid="{89953FCB-456A-4C2D-8912-B30825F750D3}" scale="75" showGridLines="0" showRowCol="0" fitToPage="1">
      <selection activeCell="H9" sqref="H9"/>
      <pageMargins left="0" right="0" top="0" bottom="0" header="0" footer="0"/>
      <printOptions horizontalCentered="1" verticalCentered="1"/>
      <pageSetup scale="60" orientation="landscape" r:id="rId1"/>
      <headerFooter alignWithMargins="0"/>
    </customSheetView>
  </customSheetViews>
  <mergeCells count="5">
    <mergeCell ref="N10:O10"/>
    <mergeCell ref="B19:D21"/>
    <mergeCell ref="C28:E28"/>
    <mergeCell ref="B1:H1"/>
    <mergeCell ref="B23:G25"/>
  </mergeCells>
  <phoneticPr fontId="4" type="noConversion"/>
  <conditionalFormatting sqref="L29:L40 L44:L49 L54:L57">
    <cfRule type="containsText" dxfId="961" priority="85" stopIfTrue="1" operator="containsText" text="You cannot">
      <formula>NOT(ISERROR(SEARCH("You cannot",L29)))</formula>
    </cfRule>
  </conditionalFormatting>
  <conditionalFormatting sqref="L29:L40 L44:L49 L54:L57">
    <cfRule type="containsText" dxfId="960" priority="83" stopIfTrue="1" operator="containsText" text="You have">
      <formula>NOT(ISERROR(SEARCH("You have",L29)))</formula>
    </cfRule>
    <cfRule type="containsText" dxfId="959" priority="84" stopIfTrue="1" operator="containsText" text="You cannot">
      <formula>NOT(ISERROR(SEARCH("You cannot",L29)))</formula>
    </cfRule>
  </conditionalFormatting>
  <conditionalFormatting sqref="K34:K40 K44:K49">
    <cfRule type="cellIs" dxfId="958" priority="48" stopIfTrue="1" operator="equal">
      <formula>"X"</formula>
    </cfRule>
  </conditionalFormatting>
  <conditionalFormatting sqref="L29:L40 L44:L49 L54:L57">
    <cfRule type="containsText" dxfId="957" priority="44" operator="containsText" text="There">
      <formula>NOT(ISERROR(SEARCH("There",L29)))</formula>
    </cfRule>
  </conditionalFormatting>
  <conditionalFormatting sqref="K29:K40 K44:K49">
    <cfRule type="containsText" dxfId="956" priority="43" operator="containsText" text="X">
      <formula>NOT(ISERROR(SEARCH("X",K29)))</formula>
    </cfRule>
  </conditionalFormatting>
  <conditionalFormatting sqref="L41">
    <cfRule type="containsText" dxfId="955" priority="42" stopIfTrue="1" operator="containsText" text="You cannot">
      <formula>NOT(ISERROR(SEARCH("You cannot",L41)))</formula>
    </cfRule>
  </conditionalFormatting>
  <conditionalFormatting sqref="L41">
    <cfRule type="containsText" dxfId="954" priority="40" stopIfTrue="1" operator="containsText" text="You have">
      <formula>NOT(ISERROR(SEARCH("You have",L41)))</formula>
    </cfRule>
    <cfRule type="containsText" dxfId="953" priority="41" stopIfTrue="1" operator="containsText" text="You cannot">
      <formula>NOT(ISERROR(SEARCH("You cannot",L41)))</formula>
    </cfRule>
  </conditionalFormatting>
  <conditionalFormatting sqref="K41">
    <cfRule type="cellIs" dxfId="952" priority="39" stopIfTrue="1" operator="equal">
      <formula>"X"</formula>
    </cfRule>
  </conditionalFormatting>
  <conditionalFormatting sqref="L41">
    <cfRule type="containsText" dxfId="951" priority="38" operator="containsText" text="There">
      <formula>NOT(ISERROR(SEARCH("There",L41)))</formula>
    </cfRule>
  </conditionalFormatting>
  <conditionalFormatting sqref="K41">
    <cfRule type="containsText" dxfId="950" priority="37" operator="containsText" text="X">
      <formula>NOT(ISERROR(SEARCH("X",K41)))</formula>
    </cfRule>
  </conditionalFormatting>
  <conditionalFormatting sqref="L42">
    <cfRule type="containsText" dxfId="949" priority="36" stopIfTrue="1" operator="containsText" text="You cannot">
      <formula>NOT(ISERROR(SEARCH("You cannot",L42)))</formula>
    </cfRule>
  </conditionalFormatting>
  <conditionalFormatting sqref="L42">
    <cfRule type="containsText" dxfId="948" priority="34" stopIfTrue="1" operator="containsText" text="You have">
      <formula>NOT(ISERROR(SEARCH("You have",L42)))</formula>
    </cfRule>
    <cfRule type="containsText" dxfId="947" priority="35" stopIfTrue="1" operator="containsText" text="You cannot">
      <formula>NOT(ISERROR(SEARCH("You cannot",L42)))</formula>
    </cfRule>
  </conditionalFormatting>
  <conditionalFormatting sqref="K42">
    <cfRule type="cellIs" dxfId="946" priority="33" stopIfTrue="1" operator="equal">
      <formula>"X"</formula>
    </cfRule>
  </conditionalFormatting>
  <conditionalFormatting sqref="L42">
    <cfRule type="containsText" dxfId="945" priority="32" operator="containsText" text="There">
      <formula>NOT(ISERROR(SEARCH("There",L42)))</formula>
    </cfRule>
  </conditionalFormatting>
  <conditionalFormatting sqref="K42">
    <cfRule type="containsText" dxfId="944" priority="31" operator="containsText" text="X">
      <formula>NOT(ISERROR(SEARCH("X",K42)))</formula>
    </cfRule>
  </conditionalFormatting>
  <conditionalFormatting sqref="L43">
    <cfRule type="containsText" dxfId="943" priority="30" stopIfTrue="1" operator="containsText" text="You cannot">
      <formula>NOT(ISERROR(SEARCH("You cannot",L43)))</formula>
    </cfRule>
  </conditionalFormatting>
  <conditionalFormatting sqref="L43">
    <cfRule type="containsText" dxfId="942" priority="28" stopIfTrue="1" operator="containsText" text="You have">
      <formula>NOT(ISERROR(SEARCH("You have",L43)))</formula>
    </cfRule>
    <cfRule type="containsText" dxfId="941" priority="29" stopIfTrue="1" operator="containsText" text="You cannot">
      <formula>NOT(ISERROR(SEARCH("You cannot",L43)))</formula>
    </cfRule>
  </conditionalFormatting>
  <conditionalFormatting sqref="K43">
    <cfRule type="cellIs" dxfId="940" priority="27" stopIfTrue="1" operator="equal">
      <formula>"X"</formula>
    </cfRule>
  </conditionalFormatting>
  <conditionalFormatting sqref="L43">
    <cfRule type="containsText" dxfId="939" priority="26" operator="containsText" text="There">
      <formula>NOT(ISERROR(SEARCH("There",L43)))</formula>
    </cfRule>
  </conditionalFormatting>
  <conditionalFormatting sqref="K43">
    <cfRule type="containsText" dxfId="938" priority="25" operator="containsText" text="X">
      <formula>NOT(ISERROR(SEARCH("X",K43)))</formula>
    </cfRule>
  </conditionalFormatting>
  <conditionalFormatting sqref="L53">
    <cfRule type="containsText" dxfId="937" priority="24" stopIfTrue="1" operator="containsText" text="You cannot">
      <formula>NOT(ISERROR(SEARCH("You cannot",L53)))</formula>
    </cfRule>
  </conditionalFormatting>
  <conditionalFormatting sqref="L53">
    <cfRule type="containsText" dxfId="936" priority="22" stopIfTrue="1" operator="containsText" text="You have">
      <formula>NOT(ISERROR(SEARCH("You have",L53)))</formula>
    </cfRule>
    <cfRule type="containsText" dxfId="935" priority="23" stopIfTrue="1" operator="containsText" text="You cannot">
      <formula>NOT(ISERROR(SEARCH("You cannot",L53)))</formula>
    </cfRule>
  </conditionalFormatting>
  <conditionalFormatting sqref="K53">
    <cfRule type="cellIs" dxfId="934" priority="21" stopIfTrue="1" operator="equal">
      <formula>"X"</formula>
    </cfRule>
  </conditionalFormatting>
  <conditionalFormatting sqref="L53">
    <cfRule type="containsText" dxfId="933" priority="20" operator="containsText" text="There">
      <formula>NOT(ISERROR(SEARCH("There",L53)))</formula>
    </cfRule>
  </conditionalFormatting>
  <conditionalFormatting sqref="K53">
    <cfRule type="containsText" dxfId="932" priority="19" operator="containsText" text="X">
      <formula>NOT(ISERROR(SEARCH("X",K53)))</formula>
    </cfRule>
  </conditionalFormatting>
  <conditionalFormatting sqref="L51">
    <cfRule type="containsText" dxfId="931" priority="18" stopIfTrue="1" operator="containsText" text="You cannot">
      <formula>NOT(ISERROR(SEARCH("You cannot",L51)))</formula>
    </cfRule>
  </conditionalFormatting>
  <conditionalFormatting sqref="L51">
    <cfRule type="containsText" dxfId="930" priority="16" stopIfTrue="1" operator="containsText" text="You have">
      <formula>NOT(ISERROR(SEARCH("You have",L51)))</formula>
    </cfRule>
    <cfRule type="containsText" dxfId="929" priority="17" stopIfTrue="1" operator="containsText" text="You cannot">
      <formula>NOT(ISERROR(SEARCH("You cannot",L51)))</formula>
    </cfRule>
  </conditionalFormatting>
  <conditionalFormatting sqref="K51">
    <cfRule type="cellIs" dxfId="928" priority="15" stopIfTrue="1" operator="equal">
      <formula>"X"</formula>
    </cfRule>
  </conditionalFormatting>
  <conditionalFormatting sqref="L51">
    <cfRule type="containsText" dxfId="927" priority="14" operator="containsText" text="There">
      <formula>NOT(ISERROR(SEARCH("There",L51)))</formula>
    </cfRule>
  </conditionalFormatting>
  <conditionalFormatting sqref="K51">
    <cfRule type="containsText" dxfId="926" priority="13" operator="containsText" text="X">
      <formula>NOT(ISERROR(SEARCH("X",K51)))</formula>
    </cfRule>
  </conditionalFormatting>
  <conditionalFormatting sqref="L52">
    <cfRule type="containsText" dxfId="925" priority="12" stopIfTrue="1" operator="containsText" text="You cannot">
      <formula>NOT(ISERROR(SEARCH("You cannot",L52)))</formula>
    </cfRule>
  </conditionalFormatting>
  <conditionalFormatting sqref="L52">
    <cfRule type="containsText" dxfId="924" priority="10" stopIfTrue="1" operator="containsText" text="You have">
      <formula>NOT(ISERROR(SEARCH("You have",L52)))</formula>
    </cfRule>
    <cfRule type="containsText" dxfId="923" priority="11" stopIfTrue="1" operator="containsText" text="You cannot">
      <formula>NOT(ISERROR(SEARCH("You cannot",L52)))</formula>
    </cfRule>
  </conditionalFormatting>
  <conditionalFormatting sqref="K52">
    <cfRule type="cellIs" dxfId="922" priority="9" stopIfTrue="1" operator="equal">
      <formula>"X"</formula>
    </cfRule>
  </conditionalFormatting>
  <conditionalFormatting sqref="L52">
    <cfRule type="containsText" dxfId="921" priority="8" operator="containsText" text="There">
      <formula>NOT(ISERROR(SEARCH("There",L52)))</formula>
    </cfRule>
  </conditionalFormatting>
  <conditionalFormatting sqref="K52">
    <cfRule type="containsText" dxfId="920" priority="7" operator="containsText" text="X">
      <formula>NOT(ISERROR(SEARCH("X",K52)))</formula>
    </cfRule>
  </conditionalFormatting>
  <conditionalFormatting sqref="L50">
    <cfRule type="containsText" dxfId="919" priority="6" stopIfTrue="1" operator="containsText" text="You cannot">
      <formula>NOT(ISERROR(SEARCH("You cannot",L50)))</formula>
    </cfRule>
  </conditionalFormatting>
  <conditionalFormatting sqref="L50">
    <cfRule type="containsText" dxfId="918" priority="4" stopIfTrue="1" operator="containsText" text="You have">
      <formula>NOT(ISERROR(SEARCH("You have",L50)))</formula>
    </cfRule>
    <cfRule type="containsText" dxfId="917" priority="5" stopIfTrue="1" operator="containsText" text="You cannot">
      <formula>NOT(ISERROR(SEARCH("You cannot",L50)))</formula>
    </cfRule>
  </conditionalFormatting>
  <conditionalFormatting sqref="K50">
    <cfRule type="cellIs" dxfId="916" priority="3" stopIfTrue="1" operator="equal">
      <formula>"X"</formula>
    </cfRule>
  </conditionalFormatting>
  <conditionalFormatting sqref="L50">
    <cfRule type="containsText" dxfId="915" priority="2" operator="containsText" text="There">
      <formula>NOT(ISERROR(SEARCH("There",L50)))</formula>
    </cfRule>
  </conditionalFormatting>
  <conditionalFormatting sqref="K50">
    <cfRule type="containsText" dxfId="914" priority="1" operator="containsText" text="X">
      <formula>NOT(ISERROR(SEARCH("X",K50)))</formula>
    </cfRule>
  </conditionalFormatting>
  <dataValidations count="1">
    <dataValidation type="list" showInputMessage="1" showErrorMessage="1" sqref="B5" xr:uid="{00000000-0002-0000-0900-000000000000}">
      <formula1>CAU</formula1>
    </dataValidation>
  </dataValidations>
  <hyperlinks>
    <hyperlink ref="G5" r:id="rId2" xr:uid="{00000000-0004-0000-0900-000000000000}"/>
  </hyperlinks>
  <printOptions horizontalCentered="1" verticalCentered="1"/>
  <pageMargins left="0.25" right="0.25" top="0.25" bottom="0.25" header="0" footer="0"/>
  <pageSetup scale="60" orientation="landscape" r:id="rId3"/>
  <headerFooter alignWithMargins="0"/>
  <extLst>
    <ext xmlns:x14="http://schemas.microsoft.com/office/spreadsheetml/2009/9/main" uri="{CCE6A557-97BC-4b89-ADB6-D9C93CAAB3DF}">
      <x14:dataValidations xmlns:xm="http://schemas.microsoft.com/office/excel/2006/main" count="1">
        <x14:dataValidation type="list" showInputMessage="1" showErrorMessage="1" xr:uid="{00000000-0002-0000-0900-000001000000}">
          <x14:formula1>
            <xm:f>'Addl Info'!$A$2:$A$15</xm:f>
          </x14:formula1>
          <xm:sqref>H9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B1:O63"/>
  <sheetViews>
    <sheetView showGridLines="0" showRowColHeaders="0" zoomScale="75" zoomScaleNormal="75" workbookViewId="0"/>
  </sheetViews>
  <sheetFormatPr defaultRowHeight="13.2"/>
  <cols>
    <col min="1" max="1" width="2.44140625" customWidth="1"/>
    <col min="2" max="2" width="97.44140625" customWidth="1"/>
    <col min="3" max="3" width="7.5546875" customWidth="1"/>
    <col min="4" max="5" width="7.88671875" customWidth="1"/>
    <col min="6" max="6" width="2.5546875" customWidth="1"/>
    <col min="7" max="7" width="20.6640625" customWidth="1"/>
    <col min="8" max="9" width="30.6640625" customWidth="1"/>
    <col min="10" max="10" width="11.6640625" bestFit="1" customWidth="1"/>
    <col min="11" max="11" width="5.109375" customWidth="1"/>
    <col min="12" max="12" width="93.6640625" bestFit="1" customWidth="1"/>
  </cols>
  <sheetData>
    <row r="1" spans="2:15" ht="21">
      <c r="B1" s="588" t="s">
        <v>1071</v>
      </c>
      <c r="C1" s="589"/>
      <c r="D1" s="589"/>
      <c r="E1" s="589"/>
      <c r="F1" s="589"/>
      <c r="G1" s="589"/>
      <c r="H1" s="590"/>
      <c r="I1" s="15" t="s">
        <v>1119</v>
      </c>
      <c r="J1" s="15"/>
      <c r="K1" s="15"/>
      <c r="L1" s="397"/>
      <c r="M1" s="15"/>
      <c r="N1" s="397"/>
      <c r="O1" s="397"/>
    </row>
    <row r="2" spans="2:15" ht="13.8" thickBot="1">
      <c r="B2" s="245"/>
      <c r="C2" s="397"/>
      <c r="D2" s="397"/>
      <c r="E2" s="397"/>
      <c r="F2" s="397"/>
      <c r="G2" s="397"/>
      <c r="H2" s="246"/>
      <c r="I2" s="397"/>
      <c r="J2" s="397"/>
      <c r="K2" s="397"/>
      <c r="L2" s="397"/>
      <c r="M2" s="397"/>
      <c r="N2" s="397"/>
      <c r="O2" s="397"/>
    </row>
    <row r="3" spans="2:15">
      <c r="B3" s="247" t="s">
        <v>1073</v>
      </c>
      <c r="C3" s="556"/>
      <c r="D3" s="556"/>
      <c r="E3" s="556"/>
      <c r="F3" s="556"/>
      <c r="G3" s="248" t="s">
        <v>1074</v>
      </c>
      <c r="H3" s="249"/>
      <c r="I3" s="397"/>
      <c r="J3" s="397"/>
      <c r="K3" s="397"/>
      <c r="L3" s="397"/>
      <c r="M3" s="397"/>
      <c r="N3" s="397"/>
      <c r="O3" s="397"/>
    </row>
    <row r="4" spans="2:15" ht="13.8" thickBot="1">
      <c r="B4" s="250"/>
      <c r="C4" s="251"/>
      <c r="D4" s="251"/>
      <c r="E4" s="251"/>
      <c r="F4" s="251"/>
      <c r="G4" s="252" t="s">
        <v>1075</v>
      </c>
      <c r="H4" s="253"/>
      <c r="I4" s="397"/>
      <c r="J4" s="397"/>
      <c r="K4" s="397"/>
      <c r="L4" s="397"/>
      <c r="M4" s="397"/>
      <c r="N4" s="397"/>
      <c r="O4" s="397"/>
    </row>
    <row r="5" spans="2:15" ht="16.2" thickBot="1">
      <c r="B5" s="39"/>
      <c r="C5" s="251"/>
      <c r="D5" s="251"/>
      <c r="E5" s="251"/>
      <c r="F5" s="251"/>
      <c r="G5" s="58" t="s">
        <v>248</v>
      </c>
      <c r="H5" s="254"/>
      <c r="I5" s="255" t="s">
        <v>1076</v>
      </c>
      <c r="J5" s="161"/>
      <c r="K5" s="397"/>
      <c r="L5" s="397"/>
      <c r="M5" s="397"/>
      <c r="N5" s="397"/>
      <c r="O5" s="397"/>
    </row>
    <row r="6" spans="2:15">
      <c r="B6" s="245"/>
      <c r="C6" s="251"/>
      <c r="D6" s="251"/>
      <c r="E6" s="251"/>
      <c r="F6" s="251"/>
      <c r="G6" s="397"/>
      <c r="H6" s="397"/>
      <c r="I6" s="256" t="s">
        <v>1077</v>
      </c>
      <c r="J6" s="346"/>
      <c r="K6" s="397"/>
      <c r="L6" s="397"/>
      <c r="M6" s="397"/>
      <c r="N6" s="397"/>
      <c r="O6" s="397"/>
    </row>
    <row r="7" spans="2:15" ht="13.8" thickBot="1">
      <c r="B7" s="247" t="s">
        <v>1078</v>
      </c>
      <c r="C7" s="556"/>
      <c r="D7" s="556"/>
      <c r="E7" s="556"/>
      <c r="F7" s="556"/>
      <c r="G7" s="397"/>
      <c r="H7" s="257" t="s">
        <v>1079</v>
      </c>
      <c r="I7" s="258" t="s">
        <v>1080</v>
      </c>
      <c r="J7" s="162"/>
      <c r="K7" s="397"/>
      <c r="L7" s="397"/>
      <c r="M7" s="397"/>
      <c r="N7" s="397"/>
      <c r="O7" s="397"/>
    </row>
    <row r="8" spans="2:15">
      <c r="B8" s="304"/>
      <c r="C8" s="259"/>
      <c r="D8" s="259"/>
      <c r="E8" s="259"/>
      <c r="F8" s="259"/>
      <c r="G8" s="397"/>
      <c r="H8" s="260"/>
      <c r="I8" s="397"/>
      <c r="J8" s="397"/>
      <c r="K8" s="397"/>
      <c r="L8" s="397"/>
      <c r="M8" s="397"/>
      <c r="N8" s="397"/>
      <c r="O8" s="397"/>
    </row>
    <row r="9" spans="2:15" ht="15.6">
      <c r="B9" s="305"/>
      <c r="C9" s="261"/>
      <c r="D9" s="261"/>
      <c r="E9" s="261"/>
      <c r="F9" s="261"/>
      <c r="G9" s="397"/>
      <c r="H9" s="30"/>
      <c r="I9" s="397"/>
      <c r="J9" s="397"/>
      <c r="K9" s="397"/>
      <c r="L9" s="397"/>
      <c r="M9" s="397"/>
      <c r="N9" s="397"/>
      <c r="O9" s="397"/>
    </row>
    <row r="10" spans="2:15">
      <c r="B10" s="245"/>
      <c r="C10" s="397"/>
      <c r="D10" s="397"/>
      <c r="E10" s="397"/>
      <c r="F10" s="397"/>
      <c r="G10" s="397"/>
      <c r="H10" s="246"/>
      <c r="I10" s="397"/>
      <c r="J10" s="397"/>
      <c r="K10" s="397"/>
      <c r="L10" s="397"/>
      <c r="M10" s="397"/>
      <c r="N10" s="575"/>
      <c r="O10" s="575"/>
    </row>
    <row r="11" spans="2:15">
      <c r="B11" s="214" t="s">
        <v>1081</v>
      </c>
      <c r="C11" s="397"/>
      <c r="D11" s="397"/>
      <c r="E11" s="397"/>
      <c r="F11" s="397"/>
      <c r="G11" s="397"/>
      <c r="H11" s="246"/>
      <c r="I11" s="397"/>
      <c r="J11" s="397"/>
      <c r="K11" s="397"/>
      <c r="L11" s="397"/>
      <c r="M11" s="397"/>
      <c r="N11" s="397"/>
      <c r="O11" s="397"/>
    </row>
    <row r="12" spans="2:15">
      <c r="B12" s="214" t="s">
        <v>1082</v>
      </c>
      <c r="C12" s="397"/>
      <c r="D12" s="397"/>
      <c r="E12" s="397"/>
      <c r="F12" s="397"/>
      <c r="G12" s="397"/>
      <c r="H12" s="246"/>
      <c r="I12" s="397"/>
      <c r="J12" s="397"/>
      <c r="K12" s="397"/>
      <c r="L12" s="397"/>
      <c r="M12" s="397"/>
      <c r="N12" s="397"/>
      <c r="O12" s="397"/>
    </row>
    <row r="13" spans="2:15">
      <c r="B13" s="214" t="s">
        <v>1083</v>
      </c>
      <c r="C13" s="397"/>
      <c r="D13" s="397"/>
      <c r="E13" s="397"/>
      <c r="F13" s="397"/>
      <c r="G13" s="397"/>
      <c r="H13" s="246"/>
      <c r="I13" s="397"/>
      <c r="J13" s="397"/>
      <c r="K13" s="397"/>
      <c r="L13" s="397"/>
      <c r="M13" s="397"/>
      <c r="N13" s="397"/>
      <c r="O13" s="397"/>
    </row>
    <row r="14" spans="2:15">
      <c r="B14" s="245"/>
      <c r="C14" s="397"/>
      <c r="D14" s="397"/>
      <c r="E14" s="397"/>
      <c r="F14" s="397"/>
      <c r="G14" s="397"/>
      <c r="H14" s="246"/>
      <c r="I14" s="397"/>
      <c r="J14" s="397"/>
      <c r="K14" s="397"/>
      <c r="L14" s="397"/>
      <c r="M14" s="397"/>
      <c r="N14" s="397"/>
      <c r="O14" s="397"/>
    </row>
    <row r="15" spans="2:15">
      <c r="B15" s="245"/>
      <c r="C15" s="397"/>
      <c r="D15" s="397"/>
      <c r="E15" s="397"/>
      <c r="F15" s="397"/>
      <c r="G15" s="397"/>
      <c r="H15" s="246"/>
      <c r="I15" s="397"/>
      <c r="J15" s="397"/>
      <c r="K15" s="397"/>
      <c r="L15" s="397"/>
      <c r="M15" s="397"/>
      <c r="N15" s="397"/>
      <c r="O15" s="397"/>
    </row>
    <row r="16" spans="2:15" ht="27" customHeight="1">
      <c r="B16" s="262" t="s">
        <v>1084</v>
      </c>
      <c r="C16" s="156"/>
      <c r="D16" s="156"/>
      <c r="E16" s="156"/>
      <c r="F16" s="156"/>
      <c r="G16" s="397"/>
      <c r="H16" s="263">
        <f>SUM(G29:G53)</f>
        <v>0</v>
      </c>
      <c r="I16" s="264"/>
      <c r="J16" s="264"/>
      <c r="K16" s="264"/>
      <c r="L16" s="397"/>
      <c r="M16" s="397"/>
      <c r="N16" s="397"/>
      <c r="O16" s="397"/>
    </row>
    <row r="17" spans="2:14">
      <c r="B17" s="245"/>
      <c r="C17" s="397"/>
      <c r="D17" s="397"/>
      <c r="E17" s="397"/>
      <c r="F17" s="397"/>
      <c r="G17" s="397"/>
      <c r="H17" s="246"/>
      <c r="I17" s="397"/>
      <c r="J17" s="397"/>
      <c r="K17" s="397"/>
      <c r="L17" s="397"/>
      <c r="M17" s="397"/>
      <c r="N17" s="397"/>
    </row>
    <row r="18" spans="2:14">
      <c r="B18" s="245"/>
      <c r="C18" s="397"/>
      <c r="D18" s="397"/>
      <c r="E18" s="397"/>
      <c r="F18" s="397"/>
      <c r="G18" s="397"/>
      <c r="H18" s="246"/>
      <c r="I18" s="397"/>
      <c r="J18" s="397"/>
      <c r="K18" s="397"/>
      <c r="L18" s="397"/>
      <c r="M18" s="397"/>
      <c r="N18" s="397"/>
    </row>
    <row r="19" spans="2:14">
      <c r="B19" s="576" t="s">
        <v>1085</v>
      </c>
      <c r="C19" s="577"/>
      <c r="D19" s="578"/>
      <c r="E19" s="556"/>
      <c r="F19" s="556"/>
      <c r="G19" s="397"/>
      <c r="H19" s="265" t="s">
        <v>1086</v>
      </c>
      <c r="I19" s="556"/>
      <c r="J19" s="556"/>
      <c r="K19" s="556"/>
      <c r="L19" s="397"/>
      <c r="M19" s="397"/>
      <c r="N19" s="397"/>
    </row>
    <row r="20" spans="2:14" ht="15">
      <c r="B20" s="579"/>
      <c r="C20" s="580"/>
      <c r="D20" s="581"/>
      <c r="E20" s="397"/>
      <c r="F20" s="397"/>
      <c r="G20" s="397"/>
      <c r="H20" s="26"/>
      <c r="I20" s="266"/>
      <c r="J20" s="266"/>
      <c r="K20" s="266"/>
      <c r="L20" s="397"/>
      <c r="M20" s="397"/>
      <c r="N20" s="397"/>
    </row>
    <row r="21" spans="2:14">
      <c r="B21" s="582"/>
      <c r="C21" s="583"/>
      <c r="D21" s="584"/>
      <c r="E21" s="17"/>
      <c r="F21" s="17"/>
      <c r="G21" s="397"/>
      <c r="H21" s="27"/>
      <c r="I21" s="267"/>
      <c r="J21" s="267"/>
      <c r="K21" s="267"/>
      <c r="L21" s="397"/>
      <c r="M21" s="397"/>
      <c r="N21" s="397"/>
    </row>
    <row r="22" spans="2:14" ht="13.8" thickBot="1">
      <c r="B22" s="256"/>
      <c r="C22" s="17"/>
      <c r="D22" s="17"/>
      <c r="E22" s="17"/>
      <c r="F22" s="17"/>
      <c r="G22" s="397"/>
      <c r="H22" s="268"/>
      <c r="I22" s="267"/>
      <c r="J22" s="267"/>
      <c r="K22" s="267"/>
      <c r="L22" s="397"/>
      <c r="M22" s="397"/>
      <c r="N22" s="397"/>
    </row>
    <row r="23" spans="2:14">
      <c r="B23" s="591" t="s">
        <v>1087</v>
      </c>
      <c r="C23" s="592"/>
      <c r="D23" s="592"/>
      <c r="E23" s="592"/>
      <c r="F23" s="592"/>
      <c r="G23" s="593"/>
      <c r="H23" s="268"/>
      <c r="I23" s="12"/>
      <c r="J23" s="267"/>
      <c r="K23" s="267"/>
      <c r="L23" s="397"/>
      <c r="M23" s="397"/>
      <c r="N23" s="397"/>
    </row>
    <row r="24" spans="2:14">
      <c r="B24" s="594"/>
      <c r="C24" s="595"/>
      <c r="D24" s="595"/>
      <c r="E24" s="595"/>
      <c r="F24" s="595"/>
      <c r="G24" s="596"/>
      <c r="H24" s="246"/>
      <c r="I24" s="397"/>
      <c r="J24" s="397"/>
      <c r="K24" s="397"/>
      <c r="L24" s="397"/>
      <c r="M24" s="397"/>
      <c r="N24" s="397"/>
    </row>
    <row r="25" spans="2:14" ht="13.8" thickBot="1">
      <c r="B25" s="597"/>
      <c r="C25" s="598"/>
      <c r="D25" s="598"/>
      <c r="E25" s="598"/>
      <c r="F25" s="598"/>
      <c r="G25" s="599"/>
      <c r="H25" s="208"/>
      <c r="I25" s="397"/>
      <c r="J25" s="397"/>
      <c r="K25" s="397"/>
      <c r="L25" s="397"/>
      <c r="M25" s="397"/>
      <c r="N25" s="397"/>
    </row>
    <row r="28" spans="2:14" ht="13.8" thickBot="1">
      <c r="B28" s="204" t="s">
        <v>1088</v>
      </c>
      <c r="C28" s="585" t="s">
        <v>1089</v>
      </c>
      <c r="D28" s="586"/>
      <c r="E28" s="587"/>
      <c r="F28" s="204"/>
      <c r="G28" s="557" t="s">
        <v>1090</v>
      </c>
      <c r="H28" s="557" t="s">
        <v>1091</v>
      </c>
      <c r="I28" s="555" t="s">
        <v>1092</v>
      </c>
      <c r="J28" s="555" t="s">
        <v>1093</v>
      </c>
      <c r="K28" s="347"/>
      <c r="L28" s="397"/>
      <c r="M28" s="397"/>
      <c r="N28" s="397"/>
    </row>
    <row r="29" spans="2:14" s="2" customFormat="1" ht="20.100000000000001" customHeight="1">
      <c r="B29" s="269" t="s">
        <v>1094</v>
      </c>
      <c r="C29" s="270">
        <v>11619</v>
      </c>
      <c r="D29" s="36" t="e">
        <f>LOOKUP(B$5,CAUTAU,Allocations!C$4:C$92)</f>
        <v>#N/A</v>
      </c>
      <c r="E29" s="271">
        <v>9000</v>
      </c>
      <c r="F29" s="269"/>
      <c r="G29" s="272">
        <f>'III-B - #11619'!B35</f>
        <v>0</v>
      </c>
      <c r="H29" s="272">
        <f>'III-B - #11619'!C35</f>
        <v>0</v>
      </c>
      <c r="I29" s="272" t="e">
        <f>'III-B - #11619'!F6</f>
        <v>#N/A</v>
      </c>
      <c r="J29" s="273">
        <f>IF(H29=0,0,H29/I29)</f>
        <v>0</v>
      </c>
      <c r="K29" s="17" t="str">
        <f>IF(OR('III-B - #11619'!N1="x",'III-B - #11619'!N2="x"),"X","")</f>
        <v/>
      </c>
      <c r="L29" s="1" t="str">
        <f t="shared" ref="L29:L53" si="0">IF(K29="X","There are errors on this form, please correct before submitting.","")</f>
        <v/>
      </c>
      <c r="N29" s="17"/>
    </row>
    <row r="30" spans="2:14" s="2" customFormat="1" ht="20.100000000000001" customHeight="1">
      <c r="B30" s="274"/>
      <c r="C30" s="275"/>
      <c r="D30" s="37"/>
      <c r="E30" s="276"/>
      <c r="F30" s="274"/>
      <c r="G30" s="272"/>
      <c r="H30" s="272"/>
      <c r="I30" s="277"/>
      <c r="J30" s="278"/>
      <c r="K30" s="17"/>
      <c r="L30" s="1"/>
      <c r="N30" s="17"/>
    </row>
    <row r="31" spans="2:14" s="2" customFormat="1" ht="20.100000000000001" customHeight="1">
      <c r="B31" s="274"/>
      <c r="C31" s="275"/>
      <c r="D31" s="37"/>
      <c r="E31" s="276"/>
      <c r="F31" s="274"/>
      <c r="G31" s="272"/>
      <c r="H31" s="272"/>
      <c r="I31" s="277"/>
      <c r="J31" s="278"/>
      <c r="K31" s="17"/>
      <c r="L31" s="1"/>
      <c r="N31" s="17"/>
    </row>
    <row r="32" spans="2:14" s="2" customFormat="1" ht="20.100000000000001" customHeight="1">
      <c r="B32" s="285"/>
      <c r="C32" s="275"/>
      <c r="D32" s="37"/>
      <c r="E32" s="276"/>
      <c r="F32" s="274"/>
      <c r="G32" s="272"/>
      <c r="H32" s="272"/>
      <c r="I32" s="277"/>
      <c r="J32" s="278"/>
      <c r="K32" s="17"/>
      <c r="L32" s="1"/>
      <c r="N32" s="17"/>
    </row>
    <row r="33" spans="2:14" s="2" customFormat="1" ht="20.100000000000001" customHeight="1">
      <c r="B33" s="279"/>
      <c r="C33" s="298"/>
      <c r="D33" s="297"/>
      <c r="E33" s="299"/>
      <c r="F33" s="281"/>
      <c r="G33" s="282"/>
      <c r="H33" s="282"/>
      <c r="I33" s="283"/>
      <c r="J33" s="284"/>
      <c r="K33" s="17"/>
      <c r="L33" s="1"/>
    </row>
    <row r="34" spans="2:14" s="2" customFormat="1" ht="20.100000000000001" customHeight="1">
      <c r="B34" s="274"/>
      <c r="C34" s="275"/>
      <c r="D34" s="37"/>
      <c r="E34" s="276"/>
      <c r="F34" s="274"/>
      <c r="G34" s="272"/>
      <c r="H34" s="272"/>
      <c r="I34" s="277"/>
      <c r="J34" s="278"/>
      <c r="K34" s="17"/>
      <c r="L34" s="1"/>
    </row>
    <row r="35" spans="2:14" s="2" customFormat="1" ht="20.100000000000001" customHeight="1">
      <c r="B35" s="274"/>
      <c r="C35" s="275"/>
      <c r="D35" s="37"/>
      <c r="E35" s="276"/>
      <c r="F35" s="274"/>
      <c r="G35" s="272"/>
      <c r="H35" s="272"/>
      <c r="I35" s="277"/>
      <c r="J35" s="278"/>
      <c r="K35" s="17"/>
      <c r="L35" s="1"/>
    </row>
    <row r="36" spans="2:14" s="2" customFormat="1" ht="20.100000000000001" customHeight="1">
      <c r="B36" s="274"/>
      <c r="C36" s="275"/>
      <c r="D36" s="37"/>
      <c r="E36" s="276"/>
      <c r="F36" s="274"/>
      <c r="G36" s="272"/>
      <c r="H36" s="272"/>
      <c r="I36" s="277"/>
      <c r="J36" s="278"/>
      <c r="K36" s="17"/>
      <c r="L36" s="1"/>
    </row>
    <row r="37" spans="2:14" s="2" customFormat="1" ht="20.100000000000001" customHeight="1">
      <c r="B37" s="274"/>
      <c r="C37" s="275"/>
      <c r="D37" s="37"/>
      <c r="E37" s="276"/>
      <c r="F37" s="274"/>
      <c r="G37" s="272"/>
      <c r="H37" s="272"/>
      <c r="I37" s="277"/>
      <c r="J37" s="278"/>
      <c r="K37" s="17"/>
      <c r="L37" s="1"/>
      <c r="N37" s="17"/>
    </row>
    <row r="38" spans="2:14" s="2" customFormat="1" ht="20.100000000000001" customHeight="1">
      <c r="B38" s="274"/>
      <c r="C38" s="275"/>
      <c r="D38" s="37"/>
      <c r="E38" s="276"/>
      <c r="F38" s="274"/>
      <c r="G38" s="272"/>
      <c r="H38" s="272"/>
      <c r="I38" s="277"/>
      <c r="J38" s="278"/>
      <c r="K38" s="17"/>
      <c r="L38" s="1"/>
    </row>
    <row r="39" spans="2:14" s="2" customFormat="1" ht="20.100000000000001" customHeight="1">
      <c r="B39" s="274" t="s">
        <v>1104</v>
      </c>
      <c r="C39" s="275">
        <v>73019</v>
      </c>
      <c r="D39" s="37" t="e">
        <f>LOOKUP(B$5,CAUTAU,Allocations!C$4:C$92)</f>
        <v>#N/A</v>
      </c>
      <c r="E39" s="276">
        <v>9000</v>
      </c>
      <c r="F39" s="274"/>
      <c r="G39" s="272">
        <f>'Ben Spec Other Repl - #73019'!B35</f>
        <v>0</v>
      </c>
      <c r="H39" s="272">
        <f>'Ben Spec Other Repl - #73019'!C35</f>
        <v>0</v>
      </c>
      <c r="I39" s="277" t="e">
        <f>'Ben Spec Other Repl - #73019'!F6</f>
        <v>#N/A</v>
      </c>
      <c r="J39" s="278">
        <f>IF(H39+H38=0,0,(H39+H38)/I39)</f>
        <v>0</v>
      </c>
      <c r="K39" s="17" t="str">
        <f>IF(OR('Ben Spec Other Repl - #73019'!N1="x",'Ben Spec Other Repl - #73019'!N2="x"),"X","")</f>
        <v/>
      </c>
      <c r="L39" s="1" t="str">
        <f t="shared" si="0"/>
        <v/>
      </c>
    </row>
    <row r="40" spans="2:14" s="2" customFormat="1" ht="20.100000000000001" customHeight="1">
      <c r="B40" s="274"/>
      <c r="C40" s="275"/>
      <c r="D40" s="37"/>
      <c r="E40" s="276"/>
      <c r="F40" s="274"/>
      <c r="G40" s="272"/>
      <c r="H40" s="272"/>
      <c r="I40" s="277"/>
      <c r="J40" s="278"/>
      <c r="K40" s="17"/>
      <c r="L40" s="1"/>
    </row>
    <row r="41" spans="2:14" s="2" customFormat="1" ht="20.100000000000001" customHeight="1">
      <c r="B41" s="285" t="s">
        <v>1106</v>
      </c>
      <c r="C41" s="275">
        <v>13019</v>
      </c>
      <c r="D41" s="37" t="e">
        <f>LOOKUP(B$5,CAUTAU,Allocations!C$4:C$92)</f>
        <v>#N/A</v>
      </c>
      <c r="E41" s="276">
        <v>9000</v>
      </c>
      <c r="F41" s="274"/>
      <c r="G41" s="272">
        <f>'EBS OCI Repl (SPAP)18-19-#13019'!B35</f>
        <v>0</v>
      </c>
      <c r="H41" s="272">
        <f>'EBS OCI Repl (SPAP)18-19-#13019'!C35</f>
        <v>0</v>
      </c>
      <c r="I41" s="286" t="e">
        <f>'EBS OCI Repl (SPAP)18-19-#13019'!F6</f>
        <v>#N/A</v>
      </c>
      <c r="J41" s="287">
        <f>IF(H41+H42+H43=0,0,(H41+H42+H43)/I41)</f>
        <v>0</v>
      </c>
      <c r="K41" s="17" t="str">
        <f>IF(OR('EBS OCI Repl (SPAP)18-19-#13019'!N1="x",'EBS OCI Repl (SPAP)18-19-#13019'!N2="x"),"X","")</f>
        <v/>
      </c>
      <c r="L41" s="1" t="str">
        <f t="shared" si="0"/>
        <v/>
      </c>
    </row>
    <row r="42" spans="2:14" s="2" customFormat="1" ht="20.100000000000001" customHeight="1">
      <c r="B42" s="285"/>
      <c r="C42" s="138"/>
      <c r="D42" s="37"/>
      <c r="E42" s="276"/>
      <c r="F42" s="274"/>
      <c r="G42" s="272"/>
      <c r="H42" s="272"/>
      <c r="I42" s="286"/>
      <c r="J42" s="287"/>
      <c r="K42" s="17"/>
      <c r="L42" s="1"/>
    </row>
    <row r="43" spans="2:14" s="2" customFormat="1" ht="20.100000000000001" customHeight="1">
      <c r="B43" s="285"/>
      <c r="C43" s="138"/>
      <c r="D43" s="37"/>
      <c r="E43" s="276"/>
      <c r="F43" s="274"/>
      <c r="G43" s="272"/>
      <c r="H43" s="272"/>
      <c r="I43" s="286"/>
      <c r="J43" s="287"/>
      <c r="K43" s="17"/>
      <c r="L43" s="1"/>
    </row>
    <row r="44" spans="2:14" s="2" customFormat="1" ht="20.100000000000001" customHeight="1">
      <c r="B44" s="279"/>
      <c r="C44" s="298"/>
      <c r="D44" s="297"/>
      <c r="E44" s="299"/>
      <c r="F44" s="279"/>
      <c r="G44" s="282"/>
      <c r="H44" s="282"/>
      <c r="I44" s="300"/>
      <c r="J44" s="301"/>
      <c r="K44" s="17"/>
      <c r="L44" s="1"/>
    </row>
    <row r="45" spans="2:14" s="2" customFormat="1" ht="20.100000000000001" customHeight="1">
      <c r="B45" s="279"/>
      <c r="C45" s="298"/>
      <c r="D45" s="297"/>
      <c r="E45" s="299"/>
      <c r="F45" s="279"/>
      <c r="G45" s="282"/>
      <c r="H45" s="282"/>
      <c r="I45" s="300"/>
      <c r="J45" s="301"/>
      <c r="K45" s="17"/>
      <c r="L45" s="1"/>
    </row>
    <row r="46" spans="2:14" s="2" customFormat="1" ht="20.100000000000001" customHeight="1">
      <c r="B46" s="279"/>
      <c r="C46" s="298"/>
      <c r="D46" s="297"/>
      <c r="E46" s="299"/>
      <c r="F46" s="279"/>
      <c r="G46" s="282"/>
      <c r="H46" s="282"/>
      <c r="I46" s="300"/>
      <c r="J46" s="301"/>
      <c r="K46" s="17"/>
      <c r="L46" s="1"/>
      <c r="N46" s="17"/>
    </row>
    <row r="47" spans="2:14" s="2" customFormat="1" ht="20.100000000000001" customHeight="1">
      <c r="B47" s="197"/>
      <c r="C47" s="138"/>
      <c r="D47" s="37"/>
      <c r="E47" s="276"/>
      <c r="F47" s="38"/>
      <c r="G47" s="272"/>
      <c r="H47" s="272"/>
      <c r="I47" s="286"/>
      <c r="J47" s="287"/>
      <c r="K47" s="17"/>
      <c r="L47" s="1"/>
      <c r="N47" s="397"/>
    </row>
    <row r="48" spans="2:14" s="2" customFormat="1" ht="20.100000000000001" customHeight="1">
      <c r="B48" s="341"/>
      <c r="C48" s="342"/>
      <c r="D48" s="297"/>
      <c r="E48" s="299"/>
      <c r="F48" s="343"/>
      <c r="G48" s="282"/>
      <c r="H48" s="282"/>
      <c r="I48" s="300"/>
      <c r="J48" s="301"/>
      <c r="K48" s="17"/>
      <c r="L48" s="1"/>
      <c r="N48" s="397"/>
    </row>
    <row r="49" spans="2:12" s="2" customFormat="1" ht="20.100000000000001" customHeight="1">
      <c r="B49" s="134"/>
      <c r="C49" s="135"/>
      <c r="D49" s="136"/>
      <c r="E49" s="280"/>
      <c r="F49" s="134"/>
      <c r="G49" s="282"/>
      <c r="H49" s="282"/>
      <c r="I49" s="283"/>
      <c r="J49" s="284"/>
      <c r="K49" s="17"/>
      <c r="L49" s="1"/>
    </row>
    <row r="50" spans="2:12" s="2" customFormat="1" ht="20.100000000000001" customHeight="1">
      <c r="B50" s="38"/>
      <c r="C50" s="138"/>
      <c r="D50" s="37"/>
      <c r="E50" s="276"/>
      <c r="F50" s="38"/>
      <c r="G50" s="272"/>
      <c r="H50" s="272"/>
      <c r="I50" s="277"/>
      <c r="J50" s="278"/>
      <c r="K50" s="17"/>
      <c r="L50" s="1"/>
    </row>
    <row r="51" spans="2:12" s="2" customFormat="1" ht="20.100000000000001" customHeight="1">
      <c r="B51" s="132"/>
      <c r="C51" s="110"/>
      <c r="D51" s="109"/>
      <c r="E51" s="288"/>
      <c r="F51" s="274"/>
      <c r="G51" s="293"/>
      <c r="H51" s="293"/>
      <c r="I51" s="294"/>
      <c r="J51" s="294"/>
      <c r="K51" s="17" t="str">
        <f>IF(OR('EBS OCI Repl 18-19-#74009 75010'!N1="x",'EBS OCI Repl 18-19-#74009 75010'!N2="x"),"X","")</f>
        <v/>
      </c>
      <c r="L51" s="1" t="str">
        <f t="shared" si="0"/>
        <v/>
      </c>
    </row>
    <row r="52" spans="2:12" s="2" customFormat="1" ht="20.100000000000001" customHeight="1">
      <c r="B52" s="108"/>
      <c r="C52" s="291"/>
      <c r="D52" s="109"/>
      <c r="E52" s="288"/>
      <c r="F52" s="292"/>
      <c r="G52" s="293"/>
      <c r="H52" s="293"/>
      <c r="I52" s="294"/>
      <c r="J52" s="294"/>
      <c r="K52" s="17" t="str">
        <f>IF(OR('Benefit Spec I&amp;A Repl #72019'!N1="x",'Benefit Spec I&amp;A Repl #72019'!N2="x"),"X","")</f>
        <v/>
      </c>
      <c r="L52" s="1" t="str">
        <f t="shared" si="0"/>
        <v/>
      </c>
    </row>
    <row r="53" spans="2:12" s="2" customFormat="1" ht="20.100000000000001" customHeight="1">
      <c r="B53" s="137"/>
      <c r="C53" s="123"/>
      <c r="D53" s="124"/>
      <c r="E53" s="289"/>
      <c r="F53" s="302"/>
      <c r="G53" s="290"/>
      <c r="H53" s="290"/>
      <c r="I53" s="303"/>
      <c r="J53" s="303"/>
      <c r="K53" s="17" t="str">
        <f>IF(OR('EBS OCI Repl 17-18-#74009 75010'!N1="x",'EBS OCI Repl 17-18-#74009 75010'!N2="x"),"X","")</f>
        <v/>
      </c>
      <c r="L53" s="1" t="str">
        <f t="shared" si="0"/>
        <v/>
      </c>
    </row>
    <row r="54" spans="2:12" s="15" customFormat="1" ht="15.6">
      <c r="G54" s="295"/>
      <c r="H54" s="295"/>
      <c r="I54" s="295"/>
      <c r="J54" s="295"/>
      <c r="K54" s="295"/>
      <c r="L54" s="1"/>
    </row>
    <row r="55" spans="2:12" s="15" customFormat="1" ht="15.6">
      <c r="G55" s="296"/>
      <c r="H55" s="296"/>
      <c r="I55" s="296"/>
      <c r="L55" s="1"/>
    </row>
    <row r="56" spans="2:12" s="15" customFormat="1" ht="15.6">
      <c r="L56" s="1"/>
    </row>
    <row r="57" spans="2:12" s="15" customFormat="1" ht="15.6">
      <c r="I57" s="295"/>
      <c r="L57" s="1"/>
    </row>
    <row r="58" spans="2:12" s="15" customFormat="1"/>
    <row r="59" spans="2:12" s="15" customFormat="1"/>
    <row r="60" spans="2:12" s="15" customFormat="1"/>
    <row r="61" spans="2:12" s="15" customFormat="1"/>
    <row r="62" spans="2:12" s="15" customFormat="1"/>
    <row r="63" spans="2:12" s="15" customFormat="1"/>
  </sheetData>
  <sheetProtection password="C3C4" sheet="1" objects="1" scenarios="1"/>
  <mergeCells count="5">
    <mergeCell ref="B1:H1"/>
    <mergeCell ref="N10:O10"/>
    <mergeCell ref="B19:D21"/>
    <mergeCell ref="B23:G25"/>
    <mergeCell ref="C28:E28"/>
  </mergeCells>
  <conditionalFormatting sqref="L54:L57">
    <cfRule type="containsText" dxfId="913" priority="78" stopIfTrue="1" operator="containsText" text="You cannot">
      <formula>NOT(ISERROR(SEARCH("You cannot",L54)))</formula>
    </cfRule>
  </conditionalFormatting>
  <conditionalFormatting sqref="L54:L57">
    <cfRule type="containsText" dxfId="912" priority="76" stopIfTrue="1" operator="containsText" text="You have">
      <formula>NOT(ISERROR(SEARCH("You have",L54)))</formula>
    </cfRule>
    <cfRule type="containsText" dxfId="911" priority="77" stopIfTrue="1" operator="containsText" text="You cannot">
      <formula>NOT(ISERROR(SEARCH("You cannot",L54)))</formula>
    </cfRule>
  </conditionalFormatting>
  <conditionalFormatting sqref="L54:L57">
    <cfRule type="containsText" dxfId="910" priority="74" operator="containsText" text="There">
      <formula>NOT(ISERROR(SEARCH("There",L54)))</formula>
    </cfRule>
  </conditionalFormatting>
  <conditionalFormatting sqref="L29:L40 L44:L49">
    <cfRule type="containsText" dxfId="909" priority="48" stopIfTrue="1" operator="containsText" text="You cannot">
      <formula>NOT(ISERROR(SEARCH("You cannot",L29)))</formula>
    </cfRule>
  </conditionalFormatting>
  <conditionalFormatting sqref="L29:L40 L44:L49">
    <cfRule type="containsText" dxfId="908" priority="46" stopIfTrue="1" operator="containsText" text="You have">
      <formula>NOT(ISERROR(SEARCH("You have",L29)))</formula>
    </cfRule>
    <cfRule type="containsText" dxfId="907" priority="47" stopIfTrue="1" operator="containsText" text="You cannot">
      <formula>NOT(ISERROR(SEARCH("You cannot",L29)))</formula>
    </cfRule>
  </conditionalFormatting>
  <conditionalFormatting sqref="K34:K40 K44:K49">
    <cfRule type="cellIs" dxfId="906" priority="45" stopIfTrue="1" operator="equal">
      <formula>"X"</formula>
    </cfRule>
  </conditionalFormatting>
  <conditionalFormatting sqref="L29:L40 L44:L49">
    <cfRule type="containsText" dxfId="905" priority="44" operator="containsText" text="There">
      <formula>NOT(ISERROR(SEARCH("There",L29)))</formula>
    </cfRule>
  </conditionalFormatting>
  <conditionalFormatting sqref="K29:K40 K44:K49">
    <cfRule type="containsText" dxfId="904" priority="43" operator="containsText" text="X">
      <formula>NOT(ISERROR(SEARCH("X",K29)))</formula>
    </cfRule>
  </conditionalFormatting>
  <conditionalFormatting sqref="L41">
    <cfRule type="containsText" dxfId="903" priority="42" stopIfTrue="1" operator="containsText" text="You cannot">
      <formula>NOT(ISERROR(SEARCH("You cannot",L41)))</formula>
    </cfRule>
  </conditionalFormatting>
  <conditionalFormatting sqref="L41">
    <cfRule type="containsText" dxfId="902" priority="40" stopIfTrue="1" operator="containsText" text="You have">
      <formula>NOT(ISERROR(SEARCH("You have",L41)))</formula>
    </cfRule>
    <cfRule type="containsText" dxfId="901" priority="41" stopIfTrue="1" operator="containsText" text="You cannot">
      <formula>NOT(ISERROR(SEARCH("You cannot",L41)))</formula>
    </cfRule>
  </conditionalFormatting>
  <conditionalFormatting sqref="K41">
    <cfRule type="cellIs" dxfId="900" priority="39" stopIfTrue="1" operator="equal">
      <formula>"X"</formula>
    </cfRule>
  </conditionalFormatting>
  <conditionalFormatting sqref="L41">
    <cfRule type="containsText" dxfId="899" priority="38" operator="containsText" text="There">
      <formula>NOT(ISERROR(SEARCH("There",L41)))</formula>
    </cfRule>
  </conditionalFormatting>
  <conditionalFormatting sqref="K41">
    <cfRule type="containsText" dxfId="898" priority="37" operator="containsText" text="X">
      <formula>NOT(ISERROR(SEARCH("X",K41)))</formula>
    </cfRule>
  </conditionalFormatting>
  <conditionalFormatting sqref="L42">
    <cfRule type="containsText" dxfId="897" priority="36" stopIfTrue="1" operator="containsText" text="You cannot">
      <formula>NOT(ISERROR(SEARCH("You cannot",L42)))</formula>
    </cfRule>
  </conditionalFormatting>
  <conditionalFormatting sqref="L42">
    <cfRule type="containsText" dxfId="896" priority="34" stopIfTrue="1" operator="containsText" text="You have">
      <formula>NOT(ISERROR(SEARCH("You have",L42)))</formula>
    </cfRule>
    <cfRule type="containsText" dxfId="895" priority="35" stopIfTrue="1" operator="containsText" text="You cannot">
      <formula>NOT(ISERROR(SEARCH("You cannot",L42)))</formula>
    </cfRule>
  </conditionalFormatting>
  <conditionalFormatting sqref="K42">
    <cfRule type="cellIs" dxfId="894" priority="33" stopIfTrue="1" operator="equal">
      <formula>"X"</formula>
    </cfRule>
  </conditionalFormatting>
  <conditionalFormatting sqref="L42">
    <cfRule type="containsText" dxfId="893" priority="32" operator="containsText" text="There">
      <formula>NOT(ISERROR(SEARCH("There",L42)))</formula>
    </cfRule>
  </conditionalFormatting>
  <conditionalFormatting sqref="K42">
    <cfRule type="containsText" dxfId="892" priority="31" operator="containsText" text="X">
      <formula>NOT(ISERROR(SEARCH("X",K42)))</formula>
    </cfRule>
  </conditionalFormatting>
  <conditionalFormatting sqref="L43">
    <cfRule type="containsText" dxfId="891" priority="30" stopIfTrue="1" operator="containsText" text="You cannot">
      <formula>NOT(ISERROR(SEARCH("You cannot",L43)))</formula>
    </cfRule>
  </conditionalFormatting>
  <conditionalFormatting sqref="L43">
    <cfRule type="containsText" dxfId="890" priority="28" stopIfTrue="1" operator="containsText" text="You have">
      <formula>NOT(ISERROR(SEARCH("You have",L43)))</formula>
    </cfRule>
    <cfRule type="containsText" dxfId="889" priority="29" stopIfTrue="1" operator="containsText" text="You cannot">
      <formula>NOT(ISERROR(SEARCH("You cannot",L43)))</formula>
    </cfRule>
  </conditionalFormatting>
  <conditionalFormatting sqref="K43">
    <cfRule type="cellIs" dxfId="888" priority="27" stopIfTrue="1" operator="equal">
      <formula>"X"</formula>
    </cfRule>
  </conditionalFormatting>
  <conditionalFormatting sqref="L43">
    <cfRule type="containsText" dxfId="887" priority="26" operator="containsText" text="There">
      <formula>NOT(ISERROR(SEARCH("There",L43)))</formula>
    </cfRule>
  </conditionalFormatting>
  <conditionalFormatting sqref="K43">
    <cfRule type="containsText" dxfId="886" priority="25" operator="containsText" text="X">
      <formula>NOT(ISERROR(SEARCH("X",K43)))</formula>
    </cfRule>
  </conditionalFormatting>
  <conditionalFormatting sqref="L53">
    <cfRule type="containsText" dxfId="885" priority="24" stopIfTrue="1" operator="containsText" text="You cannot">
      <formula>NOT(ISERROR(SEARCH("You cannot",L53)))</formula>
    </cfRule>
  </conditionalFormatting>
  <conditionalFormatting sqref="L53">
    <cfRule type="containsText" dxfId="884" priority="22" stopIfTrue="1" operator="containsText" text="You have">
      <formula>NOT(ISERROR(SEARCH("You have",L53)))</formula>
    </cfRule>
    <cfRule type="containsText" dxfId="883" priority="23" stopIfTrue="1" operator="containsText" text="You cannot">
      <formula>NOT(ISERROR(SEARCH("You cannot",L53)))</formula>
    </cfRule>
  </conditionalFormatting>
  <conditionalFormatting sqref="K53">
    <cfRule type="cellIs" dxfId="882" priority="21" stopIfTrue="1" operator="equal">
      <formula>"X"</formula>
    </cfRule>
  </conditionalFormatting>
  <conditionalFormatting sqref="L53">
    <cfRule type="containsText" dxfId="881" priority="20" operator="containsText" text="There">
      <formula>NOT(ISERROR(SEARCH("There",L53)))</formula>
    </cfRule>
  </conditionalFormatting>
  <conditionalFormatting sqref="K53">
    <cfRule type="containsText" dxfId="880" priority="19" operator="containsText" text="X">
      <formula>NOT(ISERROR(SEARCH("X",K53)))</formula>
    </cfRule>
  </conditionalFormatting>
  <conditionalFormatting sqref="L51">
    <cfRule type="containsText" dxfId="879" priority="18" stopIfTrue="1" operator="containsText" text="You cannot">
      <formula>NOT(ISERROR(SEARCH("You cannot",L51)))</formula>
    </cfRule>
  </conditionalFormatting>
  <conditionalFormatting sqref="L51">
    <cfRule type="containsText" dxfId="878" priority="16" stopIfTrue="1" operator="containsText" text="You have">
      <formula>NOT(ISERROR(SEARCH("You have",L51)))</formula>
    </cfRule>
    <cfRule type="containsText" dxfId="877" priority="17" stopIfTrue="1" operator="containsText" text="You cannot">
      <formula>NOT(ISERROR(SEARCH("You cannot",L51)))</formula>
    </cfRule>
  </conditionalFormatting>
  <conditionalFormatting sqref="K51">
    <cfRule type="cellIs" dxfId="876" priority="15" stopIfTrue="1" operator="equal">
      <formula>"X"</formula>
    </cfRule>
  </conditionalFormatting>
  <conditionalFormatting sqref="L51">
    <cfRule type="containsText" dxfId="875" priority="14" operator="containsText" text="There">
      <formula>NOT(ISERROR(SEARCH("There",L51)))</formula>
    </cfRule>
  </conditionalFormatting>
  <conditionalFormatting sqref="K51">
    <cfRule type="containsText" dxfId="874" priority="13" operator="containsText" text="X">
      <formula>NOT(ISERROR(SEARCH("X",K51)))</formula>
    </cfRule>
  </conditionalFormatting>
  <conditionalFormatting sqref="L52">
    <cfRule type="containsText" dxfId="873" priority="12" stopIfTrue="1" operator="containsText" text="You cannot">
      <formula>NOT(ISERROR(SEARCH("You cannot",L52)))</formula>
    </cfRule>
  </conditionalFormatting>
  <conditionalFormatting sqref="L52">
    <cfRule type="containsText" dxfId="872" priority="10" stopIfTrue="1" operator="containsText" text="You have">
      <formula>NOT(ISERROR(SEARCH("You have",L52)))</formula>
    </cfRule>
    <cfRule type="containsText" dxfId="871" priority="11" stopIfTrue="1" operator="containsText" text="You cannot">
      <formula>NOT(ISERROR(SEARCH("You cannot",L52)))</formula>
    </cfRule>
  </conditionalFormatting>
  <conditionalFormatting sqref="K52">
    <cfRule type="cellIs" dxfId="870" priority="9" stopIfTrue="1" operator="equal">
      <formula>"X"</formula>
    </cfRule>
  </conditionalFormatting>
  <conditionalFormatting sqref="L52">
    <cfRule type="containsText" dxfId="869" priority="8" operator="containsText" text="There">
      <formula>NOT(ISERROR(SEARCH("There",L52)))</formula>
    </cfRule>
  </conditionalFormatting>
  <conditionalFormatting sqref="K52">
    <cfRule type="containsText" dxfId="868" priority="7" operator="containsText" text="X">
      <formula>NOT(ISERROR(SEARCH("X",K52)))</formula>
    </cfRule>
  </conditionalFormatting>
  <conditionalFormatting sqref="L50">
    <cfRule type="containsText" dxfId="867" priority="6" stopIfTrue="1" operator="containsText" text="You cannot">
      <formula>NOT(ISERROR(SEARCH("You cannot",L50)))</formula>
    </cfRule>
  </conditionalFormatting>
  <conditionalFormatting sqref="L50">
    <cfRule type="containsText" dxfId="866" priority="4" stopIfTrue="1" operator="containsText" text="You have">
      <formula>NOT(ISERROR(SEARCH("You have",L50)))</formula>
    </cfRule>
    <cfRule type="containsText" dxfId="865" priority="5" stopIfTrue="1" operator="containsText" text="You cannot">
      <formula>NOT(ISERROR(SEARCH("You cannot",L50)))</formula>
    </cfRule>
  </conditionalFormatting>
  <conditionalFormatting sqref="K50">
    <cfRule type="cellIs" dxfId="864" priority="3" stopIfTrue="1" operator="equal">
      <formula>"X"</formula>
    </cfRule>
  </conditionalFormatting>
  <conditionalFormatting sqref="L50">
    <cfRule type="containsText" dxfId="863" priority="2" operator="containsText" text="There">
      <formula>NOT(ISERROR(SEARCH("There",L50)))</formula>
    </cfRule>
  </conditionalFormatting>
  <conditionalFormatting sqref="K50">
    <cfRule type="containsText" dxfId="862" priority="1" operator="containsText" text="X">
      <formula>NOT(ISERROR(SEARCH("X",K50)))</formula>
    </cfRule>
  </conditionalFormatting>
  <dataValidations count="1">
    <dataValidation type="list" showInputMessage="1" showErrorMessage="1" sqref="B5" xr:uid="{00000000-0002-0000-0A00-000000000000}">
      <formula1>CAU</formula1>
    </dataValidation>
  </dataValidations>
  <hyperlinks>
    <hyperlink ref="G5" r:id="rId1" xr:uid="{00000000-0004-0000-0A00-000000000000}"/>
  </hyperlinks>
  <printOptions horizontalCentered="1" verticalCentered="1"/>
  <pageMargins left="0.25" right="0.25" top="0.25" bottom="0.25" header="0" footer="0"/>
  <pageSetup scale="60" orientation="landscape" r:id="rId2"/>
  <headerFooter alignWithMargins="0"/>
  <extLst>
    <ext xmlns:x14="http://schemas.microsoft.com/office/spreadsheetml/2009/9/main" uri="{CCE6A557-97BC-4b89-ADB6-D9C93CAAB3DF}">
      <x14:dataValidations xmlns:xm="http://schemas.microsoft.com/office/excel/2006/main" count="1">
        <x14:dataValidation type="list" showInputMessage="1" showErrorMessage="1" xr:uid="{00000000-0002-0000-0A00-000001000000}">
          <x14:formula1>
            <xm:f>'Addl Info'!$A$2:$A$15</xm:f>
          </x14:formula1>
          <xm:sqref>H9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B1:Q63"/>
  <sheetViews>
    <sheetView showGridLines="0" zoomScale="75" zoomScaleNormal="75" workbookViewId="0"/>
  </sheetViews>
  <sheetFormatPr defaultRowHeight="13.2"/>
  <cols>
    <col min="1" max="1" width="2.44140625" customWidth="1"/>
    <col min="2" max="2" width="97.44140625" customWidth="1"/>
    <col min="3" max="3" width="7.5546875" customWidth="1"/>
    <col min="4" max="5" width="7.88671875" customWidth="1"/>
    <col min="6" max="6" width="2.5546875" customWidth="1"/>
    <col min="7" max="7" width="20.6640625" customWidth="1"/>
    <col min="8" max="9" width="30.6640625" customWidth="1"/>
    <col min="10" max="10" width="11.6640625" bestFit="1" customWidth="1"/>
    <col min="11" max="11" width="5.109375" customWidth="1"/>
    <col min="12" max="12" width="93.6640625" bestFit="1" customWidth="1"/>
  </cols>
  <sheetData>
    <row r="1" spans="2:15" ht="21">
      <c r="B1" s="588" t="s">
        <v>1071</v>
      </c>
      <c r="C1" s="589"/>
      <c r="D1" s="589"/>
      <c r="E1" s="589"/>
      <c r="F1" s="589"/>
      <c r="G1" s="589"/>
      <c r="H1" s="590"/>
      <c r="I1" s="15" t="s">
        <v>1119</v>
      </c>
      <c r="J1" s="15"/>
      <c r="K1" s="15"/>
      <c r="L1" s="397"/>
      <c r="M1" s="15"/>
      <c r="N1" s="397"/>
      <c r="O1" s="397"/>
    </row>
    <row r="2" spans="2:15" ht="13.8" thickBot="1">
      <c r="B2" s="245"/>
      <c r="C2" s="397"/>
      <c r="D2" s="397"/>
      <c r="E2" s="397"/>
      <c r="F2" s="397"/>
      <c r="G2" s="397"/>
      <c r="H2" s="246"/>
      <c r="I2" s="397"/>
      <c r="J2" s="397"/>
      <c r="K2" s="397"/>
      <c r="L2" s="397"/>
      <c r="M2" s="397"/>
      <c r="N2" s="397"/>
      <c r="O2" s="397"/>
    </row>
    <row r="3" spans="2:15">
      <c r="B3" s="247" t="s">
        <v>1073</v>
      </c>
      <c r="C3" s="556"/>
      <c r="D3" s="556"/>
      <c r="E3" s="556"/>
      <c r="F3" s="556"/>
      <c r="G3" s="248" t="s">
        <v>1074</v>
      </c>
      <c r="H3" s="249"/>
      <c r="I3" s="397"/>
      <c r="J3" s="397"/>
      <c r="K3" s="397"/>
      <c r="L3" s="397"/>
      <c r="M3" s="397"/>
      <c r="N3" s="397"/>
      <c r="O3" s="397"/>
    </row>
    <row r="4" spans="2:15" ht="13.8" thickBot="1">
      <c r="B4" s="250"/>
      <c r="C4" s="251"/>
      <c r="D4" s="251"/>
      <c r="E4" s="251"/>
      <c r="F4" s="251"/>
      <c r="G4" s="252" t="s">
        <v>1075</v>
      </c>
      <c r="H4" s="253"/>
      <c r="I4" s="397"/>
      <c r="J4" s="397"/>
      <c r="K4" s="397"/>
      <c r="L4" s="397"/>
      <c r="M4" s="397"/>
      <c r="N4" s="397"/>
      <c r="O4" s="397"/>
    </row>
    <row r="5" spans="2:15" ht="16.2" thickBot="1">
      <c r="B5" s="39"/>
      <c r="C5" s="251"/>
      <c r="D5" s="251"/>
      <c r="E5" s="251"/>
      <c r="F5" s="251"/>
      <c r="G5" s="58" t="s">
        <v>248</v>
      </c>
      <c r="H5" s="254"/>
      <c r="I5" s="255" t="s">
        <v>1076</v>
      </c>
      <c r="J5" s="161"/>
      <c r="K5" s="397"/>
      <c r="L5" s="397"/>
      <c r="M5" s="397"/>
      <c r="N5" s="397"/>
      <c r="O5" s="397"/>
    </row>
    <row r="6" spans="2:15">
      <c r="B6" s="245"/>
      <c r="C6" s="251"/>
      <c r="D6" s="251"/>
      <c r="E6" s="251"/>
      <c r="F6" s="251"/>
      <c r="G6" s="397"/>
      <c r="H6" s="397"/>
      <c r="I6" s="256" t="s">
        <v>1077</v>
      </c>
      <c r="J6" s="346"/>
      <c r="K6" s="397"/>
      <c r="L6" s="397"/>
      <c r="M6" s="397"/>
      <c r="N6" s="397"/>
      <c r="O6" s="397"/>
    </row>
    <row r="7" spans="2:15" ht="13.8" thickBot="1">
      <c r="B7" s="247" t="s">
        <v>1078</v>
      </c>
      <c r="C7" s="556"/>
      <c r="D7" s="556"/>
      <c r="E7" s="556"/>
      <c r="F7" s="556"/>
      <c r="G7" s="397"/>
      <c r="H7" s="257" t="s">
        <v>1079</v>
      </c>
      <c r="I7" s="258" t="s">
        <v>1080</v>
      </c>
      <c r="J7" s="162"/>
      <c r="K7" s="397"/>
      <c r="L7" s="397"/>
      <c r="M7" s="397"/>
      <c r="N7" s="397"/>
      <c r="O7" s="397"/>
    </row>
    <row r="8" spans="2:15">
      <c r="B8" s="304"/>
      <c r="C8" s="259"/>
      <c r="D8" s="259"/>
      <c r="E8" s="259"/>
      <c r="F8" s="259"/>
      <c r="G8" s="397"/>
      <c r="H8" s="260"/>
      <c r="I8" s="397"/>
      <c r="J8" s="397"/>
      <c r="K8" s="397"/>
      <c r="L8" s="397"/>
      <c r="M8" s="397"/>
      <c r="N8" s="397"/>
      <c r="O8" s="397"/>
    </row>
    <row r="9" spans="2:15" ht="15.6">
      <c r="B9" s="305"/>
      <c r="C9" s="261"/>
      <c r="D9" s="261"/>
      <c r="E9" s="261"/>
      <c r="F9" s="261"/>
      <c r="G9" s="397"/>
      <c r="H9" s="30"/>
      <c r="I9" s="397"/>
      <c r="J9" s="397"/>
      <c r="K9" s="397"/>
      <c r="L9" s="397"/>
      <c r="M9" s="397"/>
      <c r="N9" s="397"/>
      <c r="O9" s="397"/>
    </row>
    <row r="10" spans="2:15">
      <c r="B10" s="245"/>
      <c r="C10" s="397"/>
      <c r="D10" s="397"/>
      <c r="E10" s="397"/>
      <c r="F10" s="397"/>
      <c r="G10" s="397"/>
      <c r="H10" s="246"/>
      <c r="I10" s="397"/>
      <c r="J10" s="397"/>
      <c r="K10" s="397"/>
      <c r="L10" s="397"/>
      <c r="M10" s="397"/>
      <c r="N10" s="575"/>
      <c r="O10" s="575"/>
    </row>
    <row r="11" spans="2:15">
      <c r="B11" s="214" t="s">
        <v>1081</v>
      </c>
      <c r="C11" s="397"/>
      <c r="D11" s="397"/>
      <c r="E11" s="397"/>
      <c r="F11" s="397"/>
      <c r="G11" s="397"/>
      <c r="H11" s="246"/>
      <c r="I11" s="397"/>
      <c r="J11" s="397"/>
      <c r="K11" s="397"/>
      <c r="L11" s="397"/>
      <c r="M11" s="397"/>
      <c r="N11" s="397"/>
      <c r="O11" s="397"/>
    </row>
    <row r="12" spans="2:15">
      <c r="B12" s="214" t="s">
        <v>1082</v>
      </c>
      <c r="C12" s="397"/>
      <c r="D12" s="397"/>
      <c r="E12" s="397"/>
      <c r="F12" s="397"/>
      <c r="G12" s="397"/>
      <c r="H12" s="246"/>
      <c r="I12" s="397"/>
      <c r="J12" s="397"/>
      <c r="K12" s="397"/>
      <c r="L12" s="397"/>
      <c r="M12" s="397"/>
      <c r="N12" s="397"/>
      <c r="O12" s="397"/>
    </row>
    <row r="13" spans="2:15">
      <c r="B13" s="214" t="s">
        <v>1083</v>
      </c>
      <c r="C13" s="397"/>
      <c r="D13" s="397"/>
      <c r="E13" s="397"/>
      <c r="F13" s="397"/>
      <c r="G13" s="397"/>
      <c r="H13" s="246"/>
      <c r="I13" s="397"/>
      <c r="J13" s="397"/>
      <c r="K13" s="397"/>
      <c r="L13" s="397"/>
      <c r="M13" s="397"/>
      <c r="N13" s="397"/>
      <c r="O13" s="397"/>
    </row>
    <row r="14" spans="2:15">
      <c r="B14" s="245"/>
      <c r="C14" s="397"/>
      <c r="D14" s="397"/>
      <c r="E14" s="397"/>
      <c r="F14" s="397"/>
      <c r="G14" s="397"/>
      <c r="H14" s="246"/>
      <c r="I14" s="397"/>
      <c r="J14" s="397"/>
      <c r="K14" s="397"/>
      <c r="L14" s="397"/>
      <c r="M14" s="397"/>
      <c r="N14" s="397"/>
      <c r="O14" s="397"/>
    </row>
    <row r="15" spans="2:15">
      <c r="B15" s="245"/>
      <c r="C15" s="397"/>
      <c r="D15" s="397"/>
      <c r="E15" s="397"/>
      <c r="F15" s="397"/>
      <c r="G15" s="397"/>
      <c r="H15" s="246"/>
      <c r="I15" s="397"/>
      <c r="J15" s="397"/>
      <c r="K15" s="397"/>
      <c r="L15" s="397"/>
      <c r="M15" s="397"/>
      <c r="N15" s="397"/>
      <c r="O15" s="397"/>
    </row>
    <row r="16" spans="2:15" ht="27" customHeight="1">
      <c r="B16" s="262" t="s">
        <v>1084</v>
      </c>
      <c r="C16" s="156"/>
      <c r="D16" s="156"/>
      <c r="E16" s="156"/>
      <c r="F16" s="156"/>
      <c r="G16" s="397"/>
      <c r="H16" s="263">
        <f>SUM(G29:G53)</f>
        <v>0</v>
      </c>
      <c r="I16" s="264"/>
      <c r="J16" s="264"/>
      <c r="K16" s="264"/>
      <c r="L16" s="397"/>
      <c r="M16" s="397"/>
      <c r="N16" s="397"/>
      <c r="O16" s="397"/>
    </row>
    <row r="17" spans="2:14">
      <c r="B17" s="245"/>
      <c r="C17" s="397"/>
      <c r="D17" s="397"/>
      <c r="E17" s="397"/>
      <c r="F17" s="397"/>
      <c r="G17" s="397"/>
      <c r="H17" s="246"/>
      <c r="I17" s="397"/>
      <c r="J17" s="397"/>
      <c r="K17" s="397"/>
      <c r="L17" s="397"/>
      <c r="M17" s="397"/>
      <c r="N17" s="397"/>
    </row>
    <row r="18" spans="2:14">
      <c r="B18" s="245"/>
      <c r="C18" s="397"/>
      <c r="D18" s="397"/>
      <c r="E18" s="397"/>
      <c r="F18" s="397"/>
      <c r="G18" s="397"/>
      <c r="H18" s="246"/>
      <c r="I18" s="397"/>
      <c r="J18" s="397"/>
      <c r="K18" s="397"/>
      <c r="L18" s="397"/>
      <c r="M18" s="397"/>
      <c r="N18" s="397"/>
    </row>
    <row r="19" spans="2:14">
      <c r="B19" s="576" t="s">
        <v>1085</v>
      </c>
      <c r="C19" s="577"/>
      <c r="D19" s="578"/>
      <c r="E19" s="556"/>
      <c r="F19" s="556"/>
      <c r="G19" s="397"/>
      <c r="H19" s="265" t="s">
        <v>1086</v>
      </c>
      <c r="I19" s="556"/>
      <c r="J19" s="556"/>
      <c r="K19" s="556"/>
      <c r="L19" s="397"/>
      <c r="M19" s="397"/>
      <c r="N19" s="397"/>
    </row>
    <row r="20" spans="2:14" ht="15">
      <c r="B20" s="579"/>
      <c r="C20" s="580"/>
      <c r="D20" s="581"/>
      <c r="E20" s="397"/>
      <c r="F20" s="397"/>
      <c r="G20" s="397"/>
      <c r="H20" s="26"/>
      <c r="I20" s="266"/>
      <c r="J20" s="266"/>
      <c r="K20" s="266"/>
      <c r="L20" s="397"/>
      <c r="M20" s="397"/>
      <c r="N20" s="397"/>
    </row>
    <row r="21" spans="2:14">
      <c r="B21" s="582"/>
      <c r="C21" s="583"/>
      <c r="D21" s="584"/>
      <c r="E21" s="17"/>
      <c r="F21" s="17"/>
      <c r="G21" s="397"/>
      <c r="H21" s="27"/>
      <c r="I21" s="267"/>
      <c r="J21" s="267"/>
      <c r="K21" s="267"/>
      <c r="L21" s="397"/>
      <c r="M21" s="397"/>
      <c r="N21" s="397"/>
    </row>
    <row r="22" spans="2:14" ht="13.8" thickBot="1">
      <c r="B22" s="256"/>
      <c r="C22" s="17"/>
      <c r="D22" s="17"/>
      <c r="E22" s="17"/>
      <c r="F22" s="17"/>
      <c r="G22" s="397"/>
      <c r="H22" s="268"/>
      <c r="I22" s="267"/>
      <c r="J22" s="267"/>
      <c r="K22" s="267"/>
      <c r="L22" s="397"/>
      <c r="M22" s="397"/>
      <c r="N22" s="397"/>
    </row>
    <row r="23" spans="2:14">
      <c r="B23" s="591" t="s">
        <v>1087</v>
      </c>
      <c r="C23" s="592"/>
      <c r="D23" s="592"/>
      <c r="E23" s="592"/>
      <c r="F23" s="592"/>
      <c r="G23" s="593"/>
      <c r="H23" s="268"/>
      <c r="I23" s="12"/>
      <c r="J23" s="267"/>
      <c r="K23" s="267"/>
      <c r="L23" s="397"/>
      <c r="M23" s="397"/>
      <c r="N23" s="397"/>
    </row>
    <row r="24" spans="2:14">
      <c r="B24" s="594"/>
      <c r="C24" s="595"/>
      <c r="D24" s="595"/>
      <c r="E24" s="595"/>
      <c r="F24" s="595"/>
      <c r="G24" s="596"/>
      <c r="H24" s="246"/>
      <c r="I24" s="397"/>
      <c r="J24" s="397"/>
      <c r="K24" s="397"/>
      <c r="L24" s="397"/>
      <c r="M24" s="397"/>
      <c r="N24" s="397"/>
    </row>
    <row r="25" spans="2:14" ht="13.8" thickBot="1">
      <c r="B25" s="597"/>
      <c r="C25" s="598"/>
      <c r="D25" s="598"/>
      <c r="E25" s="598"/>
      <c r="F25" s="598"/>
      <c r="G25" s="599"/>
      <c r="H25" s="208"/>
      <c r="I25" s="397"/>
      <c r="J25" s="397"/>
      <c r="K25" s="397"/>
      <c r="L25" s="397"/>
      <c r="M25" s="397"/>
      <c r="N25" s="397"/>
    </row>
    <row r="28" spans="2:14" ht="13.8" thickBot="1">
      <c r="B28" s="204" t="s">
        <v>1088</v>
      </c>
      <c r="C28" s="585" t="s">
        <v>1089</v>
      </c>
      <c r="D28" s="586"/>
      <c r="E28" s="587"/>
      <c r="F28" s="204"/>
      <c r="G28" s="557" t="s">
        <v>1090</v>
      </c>
      <c r="H28" s="557" t="s">
        <v>1091</v>
      </c>
      <c r="I28" s="555" t="s">
        <v>1092</v>
      </c>
      <c r="J28" s="555" t="s">
        <v>1093</v>
      </c>
      <c r="K28" s="347"/>
      <c r="L28" s="397"/>
      <c r="M28" s="397"/>
      <c r="N28" s="397"/>
    </row>
    <row r="29" spans="2:14" s="2" customFormat="1" ht="20.100000000000001" customHeight="1">
      <c r="B29" s="269" t="s">
        <v>1094</v>
      </c>
      <c r="C29" s="270">
        <v>11619</v>
      </c>
      <c r="D29" s="36" t="e">
        <f>LOOKUP(B$5,CAUTAU,Allocations!C$4:C$92)</f>
        <v>#N/A</v>
      </c>
      <c r="E29" s="271">
        <v>9000</v>
      </c>
      <c r="F29" s="269"/>
      <c r="G29" s="272">
        <f>'III-B - #11619'!B35</f>
        <v>0</v>
      </c>
      <c r="H29" s="272">
        <f>'III-B - #11619'!C35</f>
        <v>0</v>
      </c>
      <c r="I29" s="272" t="e">
        <f>'III-B - #11619'!F6</f>
        <v>#N/A</v>
      </c>
      <c r="J29" s="273">
        <f>IF(H29=0,0,H29/I29)</f>
        <v>0</v>
      </c>
      <c r="K29" s="17" t="str">
        <f>IF(OR('III-B - #11619'!N1="x",'III-B - #11619'!N2="x"),"X","")</f>
        <v/>
      </c>
      <c r="L29" s="1" t="str">
        <f t="shared" ref="L29:L53" si="0">IF(K29="X","There are errors on this form, please correct before submitting.","")</f>
        <v/>
      </c>
      <c r="N29" s="17"/>
    </row>
    <row r="30" spans="2:14" s="2" customFormat="1" ht="20.100000000000001" customHeight="1">
      <c r="B30" s="274" t="s">
        <v>1095</v>
      </c>
      <c r="C30" s="275">
        <v>12019</v>
      </c>
      <c r="D30" s="37" t="e">
        <f>LOOKUP(B$5,CAUTAU,Allocations!C$4:C$92)</f>
        <v>#N/A</v>
      </c>
      <c r="E30" s="276">
        <v>9000</v>
      </c>
      <c r="F30" s="274"/>
      <c r="G30" s="272">
        <f>'III-C 1 - #12019'!B35</f>
        <v>0</v>
      </c>
      <c r="H30" s="272">
        <f>'III-C 1 - #12019'!C35</f>
        <v>0</v>
      </c>
      <c r="I30" s="277" t="e">
        <f>'III-C 1 - #12019'!F6</f>
        <v>#N/A</v>
      </c>
      <c r="J30" s="278">
        <f t="shared" ref="J30:J37" si="1">IF(H30=0,0,H30/I30)</f>
        <v>0</v>
      </c>
      <c r="K30" s="17" t="str">
        <f>IF(OR('III-C 1 - #12019'!N1="x",'III-C 1 - #12019'!N2="x"),"X","")</f>
        <v/>
      </c>
      <c r="L30" s="1" t="str">
        <f t="shared" si="0"/>
        <v/>
      </c>
      <c r="N30" s="17"/>
    </row>
    <row r="31" spans="2:14" s="2" customFormat="1" ht="20.100000000000001" customHeight="1">
      <c r="B31" s="274" t="s">
        <v>1096</v>
      </c>
      <c r="C31" s="275">
        <v>12119</v>
      </c>
      <c r="D31" s="37" t="e">
        <f>LOOKUP(B$5,CAUTAU,Allocations!C$4:C$92)</f>
        <v>#N/A</v>
      </c>
      <c r="E31" s="276">
        <v>9000</v>
      </c>
      <c r="F31" s="274"/>
      <c r="G31" s="272">
        <f>'III-C2 - #12119'!B35</f>
        <v>0</v>
      </c>
      <c r="H31" s="272">
        <f>'III-C2 - #12119'!C35</f>
        <v>0</v>
      </c>
      <c r="I31" s="277" t="e">
        <f>'III-C2 - #12119'!F6</f>
        <v>#N/A</v>
      </c>
      <c r="J31" s="278">
        <f t="shared" si="1"/>
        <v>0</v>
      </c>
      <c r="K31" s="17" t="str">
        <f>IF(OR('III-C2 - #12119'!N1="x",'III-C2 - #12119'!N2="x"),"X","")</f>
        <v/>
      </c>
      <c r="L31" s="1" t="str">
        <f t="shared" si="0"/>
        <v/>
      </c>
      <c r="N31" s="17"/>
    </row>
    <row r="32" spans="2:14" s="2" customFormat="1" ht="20.100000000000001" customHeight="1">
      <c r="B32" s="285" t="s">
        <v>1097</v>
      </c>
      <c r="C32" s="275">
        <v>13219</v>
      </c>
      <c r="D32" s="37" t="e">
        <f>LOOKUP(B$5,CAUTAU,Allocations!C$4:C$92)</f>
        <v>#N/A</v>
      </c>
      <c r="E32" s="276">
        <v>9000</v>
      </c>
      <c r="F32" s="274"/>
      <c r="G32" s="272">
        <f>'NSIP 18-19 - #13219'!B35</f>
        <v>0</v>
      </c>
      <c r="H32" s="272">
        <f>'NSIP 18-19 - #13219'!C35</f>
        <v>0</v>
      </c>
      <c r="I32" s="277" t="e">
        <f>'NSIP 18-19 - #13219'!F6</f>
        <v>#N/A</v>
      </c>
      <c r="J32" s="278">
        <f t="shared" si="1"/>
        <v>0</v>
      </c>
      <c r="K32" s="17" t="str">
        <f>IF(OR('NSIP 18-19 - #13219'!N2="x",'NSIP 18-19 - #13219'!N1="x"),"X","")</f>
        <v/>
      </c>
      <c r="L32" s="1" t="str">
        <f t="shared" si="0"/>
        <v/>
      </c>
      <c r="N32" s="17"/>
    </row>
    <row r="33" spans="2:17" s="2" customFormat="1" ht="20.100000000000001" customHeight="1">
      <c r="B33" s="279" t="s">
        <v>1098</v>
      </c>
      <c r="C33" s="298">
        <v>13218</v>
      </c>
      <c r="D33" s="297" t="e">
        <f>LOOKUP(B$5,CAUTAU,Allocations!C$4:C$92)</f>
        <v>#N/A</v>
      </c>
      <c r="E33" s="299">
        <v>9000</v>
      </c>
      <c r="F33" s="281"/>
      <c r="G33" s="282">
        <f>'NSIP 17-18 - #13218'!B35</f>
        <v>0</v>
      </c>
      <c r="H33" s="282">
        <f>'NSIP 17-18 - #13218'!C35</f>
        <v>0</v>
      </c>
      <c r="I33" s="283" t="e">
        <f>'NSIP 17-18 - #13218'!F6</f>
        <v>#N/A</v>
      </c>
      <c r="J33" s="284">
        <f t="shared" si="1"/>
        <v>0</v>
      </c>
      <c r="K33" s="17" t="str">
        <f>IF(OR('NSIP 17-18 - #13218'!N1="x",'NSIP 17-18 - #13218'!N2="x"),"X","")</f>
        <v/>
      </c>
      <c r="L33" s="1" t="str">
        <f t="shared" si="0"/>
        <v/>
      </c>
    </row>
    <row r="34" spans="2:17" s="2" customFormat="1" ht="20.100000000000001" customHeight="1">
      <c r="B34" s="274" t="s">
        <v>1099</v>
      </c>
      <c r="C34" s="275">
        <v>12419</v>
      </c>
      <c r="D34" s="37" t="e">
        <f>LOOKUP(B$5,CAUTAU,Allocations!C$4:C$92)</f>
        <v>#N/A</v>
      </c>
      <c r="E34" s="276">
        <v>9000</v>
      </c>
      <c r="F34" s="274"/>
      <c r="G34" s="272">
        <f>'III-D - #12419'!B35</f>
        <v>0</v>
      </c>
      <c r="H34" s="272">
        <f>'III-D - #12419'!C35</f>
        <v>0</v>
      </c>
      <c r="I34" s="277" t="e">
        <f>'III-D - #12419'!F6</f>
        <v>#N/A</v>
      </c>
      <c r="J34" s="278">
        <f t="shared" si="1"/>
        <v>0</v>
      </c>
      <c r="K34" s="17" t="str">
        <f>IF(OR('III-D - #12419'!N1="x",'III-D - #12419'!N2="x"),"X","")</f>
        <v/>
      </c>
      <c r="L34" s="1" t="str">
        <f t="shared" si="0"/>
        <v/>
      </c>
    </row>
    <row r="35" spans="2:17" s="2" customFormat="1" ht="20.100000000000001" customHeight="1">
      <c r="B35" s="274"/>
      <c r="C35" s="275"/>
      <c r="D35" s="37"/>
      <c r="E35" s="276"/>
      <c r="F35" s="274"/>
      <c r="G35" s="272"/>
      <c r="H35" s="272"/>
      <c r="I35" s="277"/>
      <c r="J35" s="278"/>
      <c r="K35" s="17"/>
      <c r="L35" s="1"/>
      <c r="M35" s="238"/>
      <c r="N35" s="238"/>
      <c r="O35" s="238"/>
      <c r="P35" s="238"/>
      <c r="Q35" s="238"/>
    </row>
    <row r="36" spans="2:17" s="2" customFormat="1" ht="20.100000000000001" customHeight="1">
      <c r="B36" s="274" t="s">
        <v>1101</v>
      </c>
      <c r="C36" s="275">
        <v>12219</v>
      </c>
      <c r="D36" s="37" t="e">
        <f>LOOKUP(B$5,CAUTAU,Allocations!C$4:C$92)</f>
        <v>#N/A</v>
      </c>
      <c r="E36" s="276">
        <v>9000</v>
      </c>
      <c r="F36" s="274"/>
      <c r="G36" s="272">
        <f>'Alzheimers FC Support - #12219'!B35</f>
        <v>0</v>
      </c>
      <c r="H36" s="272">
        <f>'Alzheimers FC Support - #12219'!C35</f>
        <v>0</v>
      </c>
      <c r="I36" s="277" t="e">
        <f>'Alzheimers FC Support - #12219'!F6</f>
        <v>#N/A</v>
      </c>
      <c r="J36" s="278">
        <f t="shared" si="1"/>
        <v>0</v>
      </c>
      <c r="K36" s="17" t="str">
        <f>IF(OR('Alzheimers FC Support - #12219'!N1="x",'Alzheimers FC Support - #12219'!N2="x"),"X","")</f>
        <v/>
      </c>
      <c r="L36" s="1" t="str">
        <f>IF(K36="X","There are errors on this form, please correct before submitting.","")</f>
        <v/>
      </c>
    </row>
    <row r="37" spans="2:17" s="2" customFormat="1" ht="20.100000000000001" customHeight="1">
      <c r="B37" s="274" t="s">
        <v>1102</v>
      </c>
      <c r="C37" s="275">
        <v>11519</v>
      </c>
      <c r="D37" s="37" t="e">
        <f>LOOKUP(B$5,CAUTAU,Allocations!C$4:C$92)</f>
        <v>#N/A</v>
      </c>
      <c r="E37" s="276">
        <v>9000</v>
      </c>
      <c r="F37" s="274"/>
      <c r="G37" s="272">
        <f>'SCS - #11519'!B35</f>
        <v>0</v>
      </c>
      <c r="H37" s="272">
        <f>'SCS - #11519'!C35</f>
        <v>0</v>
      </c>
      <c r="I37" s="277" t="e">
        <f>'SCS - #11519'!F6</f>
        <v>#N/A</v>
      </c>
      <c r="J37" s="278">
        <f t="shared" si="1"/>
        <v>0</v>
      </c>
      <c r="K37" s="17" t="str">
        <f>IF(OR('SCS - #11519'!N1="x",'SCS - #11519'!N2="x"),"X","")</f>
        <v/>
      </c>
      <c r="L37" s="1" t="str">
        <f t="shared" si="0"/>
        <v/>
      </c>
      <c r="N37" s="17"/>
    </row>
    <row r="38" spans="2:17" s="2" customFormat="1" ht="20.100000000000001" customHeight="1">
      <c r="B38" s="274"/>
      <c r="C38" s="275"/>
      <c r="D38" s="37"/>
      <c r="E38" s="276"/>
      <c r="F38" s="274"/>
      <c r="G38" s="272"/>
      <c r="H38" s="272"/>
      <c r="I38" s="277"/>
      <c r="J38" s="278"/>
      <c r="K38" s="17"/>
      <c r="L38" s="1" t="str">
        <f t="shared" si="0"/>
        <v/>
      </c>
      <c r="M38" s="238"/>
      <c r="N38" s="238"/>
      <c r="O38" s="238"/>
      <c r="P38" s="238"/>
    </row>
    <row r="39" spans="2:17" s="2" customFormat="1" ht="20.100000000000001" customHeight="1">
      <c r="B39" s="274" t="s">
        <v>1104</v>
      </c>
      <c r="C39" s="275">
        <v>73019</v>
      </c>
      <c r="D39" s="37" t="e">
        <f>LOOKUP(B$5,CAUTAU,Allocations!C$4:C$92)</f>
        <v>#N/A</v>
      </c>
      <c r="E39" s="276">
        <v>9000</v>
      </c>
      <c r="F39" s="274"/>
      <c r="G39" s="272">
        <f>'Ben Spec Other Repl - #73019'!B35</f>
        <v>0</v>
      </c>
      <c r="H39" s="272">
        <f>'Ben Spec Other Repl - #73019'!C35</f>
        <v>0</v>
      </c>
      <c r="I39" s="277" t="e">
        <f>'Ben Spec Other Repl - #73019'!F6</f>
        <v>#N/A</v>
      </c>
      <c r="J39" s="278">
        <f>IF(H39+H38=0,0,(H39+H38)/I39)</f>
        <v>0</v>
      </c>
      <c r="K39" s="17" t="str">
        <f>IF(OR('Ben Spec Other Repl - #73019'!N1="x",'Ben Spec Other Repl - #73019'!N2="x"),"X","")</f>
        <v/>
      </c>
      <c r="L39" s="1" t="str">
        <f t="shared" si="0"/>
        <v/>
      </c>
    </row>
    <row r="40" spans="2:17" s="2" customFormat="1" ht="20.100000000000001" customHeight="1">
      <c r="B40" s="274"/>
      <c r="C40" s="275"/>
      <c r="D40" s="37"/>
      <c r="E40" s="276"/>
      <c r="F40" s="274"/>
      <c r="G40" s="272"/>
      <c r="H40" s="272"/>
      <c r="I40" s="277"/>
      <c r="J40" s="278"/>
      <c r="K40" s="17"/>
      <c r="L40" s="1"/>
      <c r="M40" s="238"/>
      <c r="N40" s="238"/>
      <c r="O40" s="238"/>
      <c r="P40" s="238"/>
    </row>
    <row r="41" spans="2:17" s="2" customFormat="1" ht="20.100000000000001" customHeight="1">
      <c r="B41" s="285" t="s">
        <v>1106</v>
      </c>
      <c r="C41" s="275">
        <v>13019</v>
      </c>
      <c r="D41" s="37" t="e">
        <f>LOOKUP(B$5,CAUTAU,Allocations!C$4:C$92)</f>
        <v>#N/A</v>
      </c>
      <c r="E41" s="276">
        <v>9000</v>
      </c>
      <c r="F41" s="274"/>
      <c r="G41" s="272">
        <f>'EBS OCI Repl (SPAP)18-19-#13019'!B35</f>
        <v>0</v>
      </c>
      <c r="H41" s="272">
        <f>'EBS OCI Repl (SPAP)18-19-#13019'!C35</f>
        <v>0</v>
      </c>
      <c r="I41" s="286" t="e">
        <f>'EBS OCI Repl (SPAP)18-19-#13019'!F6</f>
        <v>#N/A</v>
      </c>
      <c r="J41" s="287">
        <f>IF(H41+H42+H43=0,0,(H41+H42+H43)/I41)</f>
        <v>0</v>
      </c>
      <c r="K41" s="17" t="str">
        <f>IF(OR('EBS OCI Repl (SPAP)18-19-#13019'!N1="x",'EBS OCI Repl (SPAP)18-19-#13019'!N2="x"),"X","")</f>
        <v/>
      </c>
      <c r="L41" s="1" t="str">
        <f t="shared" si="0"/>
        <v/>
      </c>
    </row>
    <row r="42" spans="2:17" s="2" customFormat="1" ht="20.100000000000001" customHeight="1">
      <c r="B42" s="285"/>
      <c r="C42" s="138"/>
      <c r="D42" s="37"/>
      <c r="E42" s="276"/>
      <c r="F42" s="274"/>
      <c r="G42" s="272"/>
      <c r="H42" s="272"/>
      <c r="I42" s="286"/>
      <c r="J42" s="287"/>
      <c r="K42" s="17"/>
      <c r="L42" s="1"/>
    </row>
    <row r="43" spans="2:17" s="2" customFormat="1" ht="20.100000000000001" customHeight="1">
      <c r="B43" s="285"/>
      <c r="C43" s="138"/>
      <c r="D43" s="37"/>
      <c r="E43" s="276"/>
      <c r="F43" s="274"/>
      <c r="G43" s="272"/>
      <c r="H43" s="272"/>
      <c r="I43" s="286"/>
      <c r="J43" s="287"/>
      <c r="K43" s="17"/>
      <c r="L43" s="1"/>
    </row>
    <row r="44" spans="2:17" s="2" customFormat="1" ht="20.100000000000001" customHeight="1">
      <c r="B44" s="279"/>
      <c r="C44" s="298"/>
      <c r="D44" s="297"/>
      <c r="E44" s="299"/>
      <c r="F44" s="279"/>
      <c r="G44" s="282"/>
      <c r="H44" s="282"/>
      <c r="I44" s="300"/>
      <c r="J44" s="301"/>
      <c r="K44" s="17"/>
      <c r="L44" s="1"/>
      <c r="M44" s="238"/>
      <c r="N44" s="238"/>
      <c r="O44" s="238"/>
      <c r="P44" s="238"/>
    </row>
    <row r="45" spans="2:17" s="2" customFormat="1" ht="20.100000000000001" customHeight="1">
      <c r="B45" s="279"/>
      <c r="C45" s="298"/>
      <c r="D45" s="297"/>
      <c r="E45" s="299"/>
      <c r="F45" s="279"/>
      <c r="G45" s="282"/>
      <c r="H45" s="282"/>
      <c r="I45" s="300"/>
      <c r="J45" s="301"/>
      <c r="K45" s="17"/>
      <c r="L45" s="1"/>
      <c r="M45" s="238"/>
      <c r="N45" s="238"/>
      <c r="O45" s="238"/>
      <c r="P45" s="238"/>
    </row>
    <row r="46" spans="2:17" s="2" customFormat="1" ht="20.100000000000001" customHeight="1">
      <c r="B46" s="279"/>
      <c r="C46" s="298"/>
      <c r="D46" s="297"/>
      <c r="E46" s="299"/>
      <c r="F46" s="279"/>
      <c r="G46" s="282"/>
      <c r="H46" s="282"/>
      <c r="I46" s="300"/>
      <c r="J46" s="301"/>
      <c r="K46" s="17"/>
      <c r="L46" s="1"/>
      <c r="N46" s="17"/>
    </row>
    <row r="47" spans="2:17" s="2" customFormat="1" ht="20.100000000000001" customHeight="1">
      <c r="B47" s="197" t="s">
        <v>1112</v>
      </c>
      <c r="C47" s="138">
        <v>12719</v>
      </c>
      <c r="D47" s="37" t="e">
        <f>LOOKUP(B$5,CAUTAU,Allocations!C$4:C$92)</f>
        <v>#N/A</v>
      </c>
      <c r="E47" s="276">
        <v>9000</v>
      </c>
      <c r="F47" s="38"/>
      <c r="G47" s="272">
        <f>'SHIP Original 18-19 - #12719'!B35</f>
        <v>0</v>
      </c>
      <c r="H47" s="272">
        <f>'SHIP Original 18-19 - #12719'!C35</f>
        <v>0</v>
      </c>
      <c r="I47" s="286" t="e">
        <f>'SHIP Original 18-19 - #12719'!F6</f>
        <v>#N/A</v>
      </c>
      <c r="J47" s="287">
        <f>IF(H47=0,0,H47/I47)</f>
        <v>0</v>
      </c>
      <c r="K47" s="17" t="str">
        <f>IF(OR('SHIP Original 18-19 - #12719'!N2="x",'SHIP Original 18-19 - #12719'!N1="x"),"X","")</f>
        <v/>
      </c>
      <c r="L47" s="1" t="str">
        <f t="shared" si="0"/>
        <v/>
      </c>
      <c r="N47" s="397"/>
    </row>
    <row r="48" spans="2:17" s="2" customFormat="1" ht="20.100000000000001" customHeight="1">
      <c r="B48" s="341"/>
      <c r="C48" s="342"/>
      <c r="D48" s="297"/>
      <c r="E48" s="299"/>
      <c r="F48" s="343"/>
      <c r="G48" s="282"/>
      <c r="H48" s="282"/>
      <c r="I48" s="300"/>
      <c r="J48" s="301"/>
      <c r="K48" s="17"/>
      <c r="L48" s="1" t="str">
        <f t="shared" si="0"/>
        <v/>
      </c>
      <c r="N48" s="397"/>
    </row>
    <row r="49" spans="2:16" s="2" customFormat="1" ht="20.100000000000001" customHeight="1">
      <c r="B49" s="134"/>
      <c r="C49" s="135"/>
      <c r="D49" s="136"/>
      <c r="E49" s="280"/>
      <c r="F49" s="134"/>
      <c r="G49" s="282"/>
      <c r="H49" s="282"/>
      <c r="I49" s="283"/>
      <c r="J49" s="284"/>
      <c r="K49" s="17"/>
      <c r="L49" s="1" t="str">
        <f t="shared" si="0"/>
        <v/>
      </c>
      <c r="M49" s="238"/>
      <c r="N49" s="238"/>
      <c r="O49" s="238"/>
      <c r="P49" s="238"/>
    </row>
    <row r="50" spans="2:16" s="2" customFormat="1" ht="20.100000000000001" customHeight="1">
      <c r="B50" s="38"/>
      <c r="C50" s="138"/>
      <c r="D50" s="37"/>
      <c r="E50" s="276"/>
      <c r="F50" s="38"/>
      <c r="G50" s="272"/>
      <c r="H50" s="272"/>
      <c r="I50" s="277"/>
      <c r="J50" s="278"/>
      <c r="K50" s="17"/>
      <c r="L50" s="1" t="str">
        <f t="shared" si="0"/>
        <v/>
      </c>
      <c r="M50" s="238"/>
      <c r="N50" s="238"/>
      <c r="O50" s="238"/>
      <c r="P50" s="238"/>
    </row>
    <row r="51" spans="2:16" s="2" customFormat="1" ht="20.100000000000001" customHeight="1">
      <c r="B51" s="132"/>
      <c r="C51" s="110"/>
      <c r="D51" s="109"/>
      <c r="E51" s="288"/>
      <c r="F51" s="274"/>
      <c r="G51" s="293"/>
      <c r="H51" s="293"/>
      <c r="I51" s="294"/>
      <c r="J51" s="294"/>
      <c r="K51" s="17"/>
      <c r="L51" s="1" t="str">
        <f t="shared" si="0"/>
        <v/>
      </c>
    </row>
    <row r="52" spans="2:16" s="2" customFormat="1" ht="20.100000000000001" customHeight="1">
      <c r="B52" s="108"/>
      <c r="C52" s="291"/>
      <c r="D52" s="109"/>
      <c r="E52" s="288"/>
      <c r="F52" s="292"/>
      <c r="G52" s="293"/>
      <c r="H52" s="293"/>
      <c r="I52" s="294"/>
      <c r="J52" s="294"/>
      <c r="K52" s="17"/>
      <c r="L52" s="1" t="str">
        <f t="shared" si="0"/>
        <v/>
      </c>
      <c r="M52" s="238"/>
      <c r="N52" s="238"/>
      <c r="O52" s="238"/>
      <c r="P52" s="238"/>
    </row>
    <row r="53" spans="2:16" s="2" customFormat="1" ht="20.100000000000001" customHeight="1">
      <c r="B53" s="137"/>
      <c r="C53" s="123"/>
      <c r="D53" s="124"/>
      <c r="E53" s="289"/>
      <c r="F53" s="302"/>
      <c r="G53" s="290"/>
      <c r="H53" s="290"/>
      <c r="I53" s="303"/>
      <c r="J53" s="303"/>
      <c r="K53" s="17"/>
      <c r="L53" s="1" t="str">
        <f t="shared" si="0"/>
        <v/>
      </c>
      <c r="M53" s="238"/>
      <c r="N53" s="238"/>
      <c r="O53" s="238"/>
      <c r="P53" s="238"/>
    </row>
    <row r="54" spans="2:16" s="15" customFormat="1" ht="15.6">
      <c r="G54" s="295"/>
      <c r="H54" s="295"/>
      <c r="I54" s="295"/>
      <c r="J54" s="295"/>
      <c r="K54" s="295"/>
      <c r="L54" s="1"/>
    </row>
    <row r="55" spans="2:16" s="15" customFormat="1" ht="15.6">
      <c r="G55" s="296"/>
      <c r="H55" s="296"/>
      <c r="I55" s="296"/>
      <c r="L55" s="1"/>
    </row>
    <row r="56" spans="2:16" s="15" customFormat="1" ht="15.6">
      <c r="L56" s="1"/>
    </row>
    <row r="57" spans="2:16" s="15" customFormat="1" ht="15.6">
      <c r="I57" s="295"/>
      <c r="L57" s="1"/>
    </row>
    <row r="58" spans="2:16" s="15" customFormat="1"/>
    <row r="59" spans="2:16" s="15" customFormat="1"/>
    <row r="60" spans="2:16" s="15" customFormat="1"/>
    <row r="61" spans="2:16" s="15" customFormat="1"/>
    <row r="62" spans="2:16" s="15" customFormat="1"/>
    <row r="63" spans="2:16" s="15" customFormat="1"/>
  </sheetData>
  <sheetProtection password="C3C4" sheet="1" objects="1" scenarios="1"/>
  <mergeCells count="5">
    <mergeCell ref="B1:H1"/>
    <mergeCell ref="N10:O10"/>
    <mergeCell ref="B19:D21"/>
    <mergeCell ref="B23:G25"/>
    <mergeCell ref="C28:E28"/>
  </mergeCells>
  <conditionalFormatting sqref="L54:L57">
    <cfRule type="containsText" dxfId="861" priority="78" stopIfTrue="1" operator="containsText" text="You cannot">
      <formula>NOT(ISERROR(SEARCH("You cannot",L54)))</formula>
    </cfRule>
  </conditionalFormatting>
  <conditionalFormatting sqref="L54:L57">
    <cfRule type="containsText" dxfId="860" priority="76" stopIfTrue="1" operator="containsText" text="You have">
      <formula>NOT(ISERROR(SEARCH("You have",L54)))</formula>
    </cfRule>
    <cfRule type="containsText" dxfId="859" priority="77" stopIfTrue="1" operator="containsText" text="You cannot">
      <formula>NOT(ISERROR(SEARCH("You cannot",L54)))</formula>
    </cfRule>
  </conditionalFormatting>
  <conditionalFormatting sqref="L54:L57">
    <cfRule type="containsText" dxfId="858" priority="74" operator="containsText" text="There">
      <formula>NOT(ISERROR(SEARCH("There",L54)))</formula>
    </cfRule>
  </conditionalFormatting>
  <conditionalFormatting sqref="L29:L40 L44:L49">
    <cfRule type="containsText" dxfId="857" priority="48" stopIfTrue="1" operator="containsText" text="You cannot">
      <formula>NOT(ISERROR(SEARCH("You cannot",L29)))</formula>
    </cfRule>
  </conditionalFormatting>
  <conditionalFormatting sqref="L29:L40 L44:L49">
    <cfRule type="containsText" dxfId="856" priority="46" stopIfTrue="1" operator="containsText" text="You have">
      <formula>NOT(ISERROR(SEARCH("You have",L29)))</formula>
    </cfRule>
    <cfRule type="containsText" dxfId="855" priority="47" stopIfTrue="1" operator="containsText" text="You cannot">
      <formula>NOT(ISERROR(SEARCH("You cannot",L29)))</formula>
    </cfRule>
  </conditionalFormatting>
  <conditionalFormatting sqref="K34:K40 K44:K49">
    <cfRule type="cellIs" dxfId="854" priority="45" stopIfTrue="1" operator="equal">
      <formula>"X"</formula>
    </cfRule>
  </conditionalFormatting>
  <conditionalFormatting sqref="L29:L40 L44:L49">
    <cfRule type="containsText" dxfId="853" priority="44" operator="containsText" text="There">
      <formula>NOT(ISERROR(SEARCH("There",L29)))</formula>
    </cfRule>
  </conditionalFormatting>
  <conditionalFormatting sqref="K29:K40 K44:K49">
    <cfRule type="containsText" dxfId="852" priority="43" operator="containsText" text="X">
      <formula>NOT(ISERROR(SEARCH("X",K29)))</formula>
    </cfRule>
  </conditionalFormatting>
  <conditionalFormatting sqref="L41">
    <cfRule type="containsText" dxfId="851" priority="42" stopIfTrue="1" operator="containsText" text="You cannot">
      <formula>NOT(ISERROR(SEARCH("You cannot",L41)))</formula>
    </cfRule>
  </conditionalFormatting>
  <conditionalFormatting sqref="L41">
    <cfRule type="containsText" dxfId="850" priority="40" stopIfTrue="1" operator="containsText" text="You have">
      <formula>NOT(ISERROR(SEARCH("You have",L41)))</formula>
    </cfRule>
    <cfRule type="containsText" dxfId="849" priority="41" stopIfTrue="1" operator="containsText" text="You cannot">
      <formula>NOT(ISERROR(SEARCH("You cannot",L41)))</formula>
    </cfRule>
  </conditionalFormatting>
  <conditionalFormatting sqref="K41">
    <cfRule type="cellIs" dxfId="848" priority="39" stopIfTrue="1" operator="equal">
      <formula>"X"</formula>
    </cfRule>
  </conditionalFormatting>
  <conditionalFormatting sqref="L41">
    <cfRule type="containsText" dxfId="847" priority="38" operator="containsText" text="There">
      <formula>NOT(ISERROR(SEARCH("There",L41)))</formula>
    </cfRule>
  </conditionalFormatting>
  <conditionalFormatting sqref="K41">
    <cfRule type="containsText" dxfId="846" priority="37" operator="containsText" text="X">
      <formula>NOT(ISERROR(SEARCH("X",K41)))</formula>
    </cfRule>
  </conditionalFormatting>
  <conditionalFormatting sqref="L42">
    <cfRule type="containsText" dxfId="845" priority="36" stopIfTrue="1" operator="containsText" text="You cannot">
      <formula>NOT(ISERROR(SEARCH("You cannot",L42)))</formula>
    </cfRule>
  </conditionalFormatting>
  <conditionalFormatting sqref="L42">
    <cfRule type="containsText" dxfId="844" priority="34" stopIfTrue="1" operator="containsText" text="You have">
      <formula>NOT(ISERROR(SEARCH("You have",L42)))</formula>
    </cfRule>
    <cfRule type="containsText" dxfId="843" priority="35" stopIfTrue="1" operator="containsText" text="You cannot">
      <formula>NOT(ISERROR(SEARCH("You cannot",L42)))</formula>
    </cfRule>
  </conditionalFormatting>
  <conditionalFormatting sqref="K42">
    <cfRule type="cellIs" dxfId="842" priority="33" stopIfTrue="1" operator="equal">
      <formula>"X"</formula>
    </cfRule>
  </conditionalFormatting>
  <conditionalFormatting sqref="L42">
    <cfRule type="containsText" dxfId="841" priority="32" operator="containsText" text="There">
      <formula>NOT(ISERROR(SEARCH("There",L42)))</formula>
    </cfRule>
  </conditionalFormatting>
  <conditionalFormatting sqref="K42">
    <cfRule type="containsText" dxfId="840" priority="31" operator="containsText" text="X">
      <formula>NOT(ISERROR(SEARCH("X",K42)))</formula>
    </cfRule>
  </conditionalFormatting>
  <conditionalFormatting sqref="L43">
    <cfRule type="containsText" dxfId="839" priority="30" stopIfTrue="1" operator="containsText" text="You cannot">
      <formula>NOT(ISERROR(SEARCH("You cannot",L43)))</formula>
    </cfRule>
  </conditionalFormatting>
  <conditionalFormatting sqref="L43">
    <cfRule type="containsText" dxfId="838" priority="28" stopIfTrue="1" operator="containsText" text="You have">
      <formula>NOT(ISERROR(SEARCH("You have",L43)))</formula>
    </cfRule>
    <cfRule type="containsText" dxfId="837" priority="29" stopIfTrue="1" operator="containsText" text="You cannot">
      <formula>NOT(ISERROR(SEARCH("You cannot",L43)))</formula>
    </cfRule>
  </conditionalFormatting>
  <conditionalFormatting sqref="K43">
    <cfRule type="cellIs" dxfId="836" priority="27" stopIfTrue="1" operator="equal">
      <formula>"X"</formula>
    </cfRule>
  </conditionalFormatting>
  <conditionalFormatting sqref="L43">
    <cfRule type="containsText" dxfId="835" priority="26" operator="containsText" text="There">
      <formula>NOT(ISERROR(SEARCH("There",L43)))</formula>
    </cfRule>
  </conditionalFormatting>
  <conditionalFormatting sqref="K43">
    <cfRule type="containsText" dxfId="834" priority="25" operator="containsText" text="X">
      <formula>NOT(ISERROR(SEARCH("X",K43)))</formula>
    </cfRule>
  </conditionalFormatting>
  <conditionalFormatting sqref="L53">
    <cfRule type="containsText" dxfId="833" priority="24" stopIfTrue="1" operator="containsText" text="You cannot">
      <formula>NOT(ISERROR(SEARCH("You cannot",L53)))</formula>
    </cfRule>
  </conditionalFormatting>
  <conditionalFormatting sqref="L53">
    <cfRule type="containsText" dxfId="832" priority="22" stopIfTrue="1" operator="containsText" text="You have">
      <formula>NOT(ISERROR(SEARCH("You have",L53)))</formula>
    </cfRule>
    <cfRule type="containsText" dxfId="831" priority="23" stopIfTrue="1" operator="containsText" text="You cannot">
      <formula>NOT(ISERROR(SEARCH("You cannot",L53)))</formula>
    </cfRule>
  </conditionalFormatting>
  <conditionalFormatting sqref="K53">
    <cfRule type="cellIs" dxfId="830" priority="21" stopIfTrue="1" operator="equal">
      <formula>"X"</formula>
    </cfRule>
  </conditionalFormatting>
  <conditionalFormatting sqref="L53">
    <cfRule type="containsText" dxfId="829" priority="20" operator="containsText" text="There">
      <formula>NOT(ISERROR(SEARCH("There",L53)))</formula>
    </cfRule>
  </conditionalFormatting>
  <conditionalFormatting sqref="K53">
    <cfRule type="containsText" dxfId="828" priority="19" operator="containsText" text="X">
      <formula>NOT(ISERROR(SEARCH("X",K53)))</formula>
    </cfRule>
  </conditionalFormatting>
  <conditionalFormatting sqref="L51">
    <cfRule type="containsText" dxfId="827" priority="18" stopIfTrue="1" operator="containsText" text="You cannot">
      <formula>NOT(ISERROR(SEARCH("You cannot",L51)))</formula>
    </cfRule>
  </conditionalFormatting>
  <conditionalFormatting sqref="L51">
    <cfRule type="containsText" dxfId="826" priority="16" stopIfTrue="1" operator="containsText" text="You have">
      <formula>NOT(ISERROR(SEARCH("You have",L51)))</formula>
    </cfRule>
    <cfRule type="containsText" dxfId="825" priority="17" stopIfTrue="1" operator="containsText" text="You cannot">
      <formula>NOT(ISERROR(SEARCH("You cannot",L51)))</formula>
    </cfRule>
  </conditionalFormatting>
  <conditionalFormatting sqref="K51">
    <cfRule type="cellIs" dxfId="824" priority="15" stopIfTrue="1" operator="equal">
      <formula>"X"</formula>
    </cfRule>
  </conditionalFormatting>
  <conditionalFormatting sqref="L51">
    <cfRule type="containsText" dxfId="823" priority="14" operator="containsText" text="There">
      <formula>NOT(ISERROR(SEARCH("There",L51)))</formula>
    </cfRule>
  </conditionalFormatting>
  <conditionalFormatting sqref="K51">
    <cfRule type="containsText" dxfId="822" priority="13" operator="containsText" text="X">
      <formula>NOT(ISERROR(SEARCH("X",K51)))</formula>
    </cfRule>
  </conditionalFormatting>
  <conditionalFormatting sqref="L52">
    <cfRule type="containsText" dxfId="821" priority="12" stopIfTrue="1" operator="containsText" text="You cannot">
      <formula>NOT(ISERROR(SEARCH("You cannot",L52)))</formula>
    </cfRule>
  </conditionalFormatting>
  <conditionalFormatting sqref="L52">
    <cfRule type="containsText" dxfId="820" priority="10" stopIfTrue="1" operator="containsText" text="You have">
      <formula>NOT(ISERROR(SEARCH("You have",L52)))</formula>
    </cfRule>
    <cfRule type="containsText" dxfId="819" priority="11" stopIfTrue="1" operator="containsText" text="You cannot">
      <formula>NOT(ISERROR(SEARCH("You cannot",L52)))</formula>
    </cfRule>
  </conditionalFormatting>
  <conditionalFormatting sqref="K52">
    <cfRule type="cellIs" dxfId="818" priority="9" stopIfTrue="1" operator="equal">
      <formula>"X"</formula>
    </cfRule>
  </conditionalFormatting>
  <conditionalFormatting sqref="L52">
    <cfRule type="containsText" dxfId="817" priority="8" operator="containsText" text="There">
      <formula>NOT(ISERROR(SEARCH("There",L52)))</formula>
    </cfRule>
  </conditionalFormatting>
  <conditionalFormatting sqref="K52">
    <cfRule type="containsText" dxfId="816" priority="7" operator="containsText" text="X">
      <formula>NOT(ISERROR(SEARCH("X",K52)))</formula>
    </cfRule>
  </conditionalFormatting>
  <conditionalFormatting sqref="L50">
    <cfRule type="containsText" dxfId="815" priority="6" stopIfTrue="1" operator="containsText" text="You cannot">
      <formula>NOT(ISERROR(SEARCH("You cannot",L50)))</formula>
    </cfRule>
  </conditionalFormatting>
  <conditionalFormatting sqref="L50">
    <cfRule type="containsText" dxfId="814" priority="4" stopIfTrue="1" operator="containsText" text="You have">
      <formula>NOT(ISERROR(SEARCH("You have",L50)))</formula>
    </cfRule>
    <cfRule type="containsText" dxfId="813" priority="5" stopIfTrue="1" operator="containsText" text="You cannot">
      <formula>NOT(ISERROR(SEARCH("You cannot",L50)))</formula>
    </cfRule>
  </conditionalFormatting>
  <conditionalFormatting sqref="K50">
    <cfRule type="cellIs" dxfId="812" priority="3" stopIfTrue="1" operator="equal">
      <formula>"X"</formula>
    </cfRule>
  </conditionalFormatting>
  <conditionalFormatting sqref="L50">
    <cfRule type="containsText" dxfId="811" priority="2" operator="containsText" text="There">
      <formula>NOT(ISERROR(SEARCH("There",L50)))</formula>
    </cfRule>
  </conditionalFormatting>
  <conditionalFormatting sqref="K50">
    <cfRule type="containsText" dxfId="810" priority="1" operator="containsText" text="X">
      <formula>NOT(ISERROR(SEARCH("X",K50)))</formula>
    </cfRule>
  </conditionalFormatting>
  <dataValidations count="1">
    <dataValidation type="list" showInputMessage="1" showErrorMessage="1" sqref="B5" xr:uid="{00000000-0002-0000-0B00-000000000000}">
      <formula1>TAU</formula1>
    </dataValidation>
  </dataValidations>
  <hyperlinks>
    <hyperlink ref="G5" r:id="rId1" xr:uid="{00000000-0004-0000-0B00-000000000000}"/>
  </hyperlinks>
  <printOptions horizontalCentered="1" verticalCentered="1"/>
  <pageMargins left="0.25" right="0.25" top="0.25" bottom="0.25" header="0" footer="0"/>
  <pageSetup scale="60" orientation="landscape"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'Addl Info'!$A$2:$A$15</xm:f>
          </x14:formula1>
          <xm:sqref>H9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O63"/>
  <sheetViews>
    <sheetView showGridLines="0" zoomScale="75" zoomScaleNormal="75" workbookViewId="0">
      <selection activeCell="B5" sqref="B5"/>
    </sheetView>
  </sheetViews>
  <sheetFormatPr defaultRowHeight="13.2"/>
  <cols>
    <col min="1" max="1" width="2.44140625" customWidth="1"/>
    <col min="2" max="2" width="97.44140625" customWidth="1"/>
    <col min="3" max="3" width="7.5546875" customWidth="1"/>
    <col min="4" max="5" width="7.88671875" customWidth="1"/>
    <col min="6" max="6" width="2.5546875" customWidth="1"/>
    <col min="7" max="7" width="20.6640625" customWidth="1"/>
    <col min="8" max="9" width="30.6640625" customWidth="1"/>
    <col min="10" max="10" width="11.6640625" bestFit="1" customWidth="1"/>
    <col min="11" max="11" width="5.109375" customWidth="1"/>
    <col min="12" max="12" width="93.6640625" bestFit="1" customWidth="1"/>
  </cols>
  <sheetData>
    <row r="1" spans="2:15" ht="21">
      <c r="B1" s="588" t="s">
        <v>1071</v>
      </c>
      <c r="C1" s="589"/>
      <c r="D1" s="589"/>
      <c r="E1" s="589"/>
      <c r="F1" s="589"/>
      <c r="G1" s="589"/>
      <c r="H1" s="590"/>
      <c r="I1" s="15" t="s">
        <v>1119</v>
      </c>
      <c r="J1" s="15"/>
      <c r="K1" s="15"/>
      <c r="L1" s="397"/>
      <c r="M1" s="15"/>
      <c r="N1" s="397"/>
      <c r="O1" s="397"/>
    </row>
    <row r="2" spans="2:15" ht="13.8" thickBot="1">
      <c r="B2" s="245"/>
      <c r="C2" s="397"/>
      <c r="D2" s="397"/>
      <c r="E2" s="397"/>
      <c r="F2" s="397"/>
      <c r="G2" s="397"/>
      <c r="H2" s="246"/>
      <c r="I2" s="397"/>
      <c r="J2" s="397"/>
      <c r="K2" s="397"/>
      <c r="L2" s="397"/>
      <c r="M2" s="397"/>
      <c r="N2" s="397"/>
      <c r="O2" s="397"/>
    </row>
    <row r="3" spans="2:15">
      <c r="B3" s="247" t="s">
        <v>1073</v>
      </c>
      <c r="C3" s="556"/>
      <c r="D3" s="556"/>
      <c r="E3" s="556"/>
      <c r="F3" s="556"/>
      <c r="G3" s="248" t="s">
        <v>1074</v>
      </c>
      <c r="H3" s="249"/>
      <c r="I3" s="397"/>
      <c r="J3" s="397"/>
      <c r="K3" s="397"/>
      <c r="L3" s="397"/>
      <c r="M3" s="397"/>
      <c r="N3" s="397"/>
      <c r="O3" s="397"/>
    </row>
    <row r="4" spans="2:15" ht="13.8" thickBot="1">
      <c r="B4" s="250"/>
      <c r="C4" s="251"/>
      <c r="D4" s="251"/>
      <c r="E4" s="251"/>
      <c r="F4" s="251"/>
      <c r="G4" s="252" t="s">
        <v>1075</v>
      </c>
      <c r="H4" s="253"/>
      <c r="I4" s="397"/>
      <c r="J4" s="397"/>
      <c r="K4" s="397"/>
      <c r="L4" s="397"/>
      <c r="M4" s="397"/>
      <c r="N4" s="397"/>
      <c r="O4" s="397"/>
    </row>
    <row r="5" spans="2:15" ht="16.2" thickBot="1">
      <c r="B5" s="39" t="s">
        <v>184</v>
      </c>
      <c r="C5" s="251"/>
      <c r="D5" s="251"/>
      <c r="E5" s="251"/>
      <c r="F5" s="251"/>
      <c r="G5" s="58" t="s">
        <v>248</v>
      </c>
      <c r="H5" s="254"/>
      <c r="I5" s="255" t="s">
        <v>1076</v>
      </c>
      <c r="J5" s="161"/>
      <c r="K5" s="397"/>
      <c r="L5" s="397"/>
      <c r="M5" s="397"/>
      <c r="N5" s="397"/>
      <c r="O5" s="397"/>
    </row>
    <row r="6" spans="2:15">
      <c r="B6" s="245"/>
      <c r="C6" s="251"/>
      <c r="D6" s="251"/>
      <c r="E6" s="251"/>
      <c r="F6" s="251"/>
      <c r="G6" s="397"/>
      <c r="H6" s="397"/>
      <c r="I6" s="256" t="s">
        <v>1077</v>
      </c>
      <c r="J6" s="346"/>
      <c r="K6" s="397"/>
      <c r="L6" s="397"/>
      <c r="M6" s="397"/>
      <c r="N6" s="397"/>
      <c r="O6" s="397"/>
    </row>
    <row r="7" spans="2:15" ht="13.8" thickBot="1">
      <c r="B7" s="247" t="s">
        <v>1078</v>
      </c>
      <c r="C7" s="556"/>
      <c r="D7" s="556"/>
      <c r="E7" s="556"/>
      <c r="F7" s="556"/>
      <c r="G7" s="397"/>
      <c r="H7" s="257" t="s">
        <v>1079</v>
      </c>
      <c r="I7" s="258" t="s">
        <v>1080</v>
      </c>
      <c r="J7" s="162"/>
      <c r="K7" s="397"/>
      <c r="L7" s="397"/>
      <c r="M7" s="397"/>
      <c r="N7" s="397"/>
      <c r="O7" s="397"/>
    </row>
    <row r="8" spans="2:15">
      <c r="B8" s="304"/>
      <c r="C8" s="259"/>
      <c r="D8" s="259"/>
      <c r="E8" s="259"/>
      <c r="F8" s="259"/>
      <c r="G8" s="397"/>
      <c r="H8" s="260"/>
      <c r="I8" s="397"/>
      <c r="J8" s="397"/>
      <c r="K8" s="397"/>
      <c r="L8" s="397"/>
      <c r="M8" s="397"/>
      <c r="N8" s="397"/>
      <c r="O8" s="397"/>
    </row>
    <row r="9" spans="2:15" ht="15.6">
      <c r="B9" s="305"/>
      <c r="C9" s="261"/>
      <c r="D9" s="261"/>
      <c r="E9" s="261"/>
      <c r="F9" s="261"/>
      <c r="G9" s="397"/>
      <c r="H9" s="30"/>
      <c r="I9" s="397"/>
      <c r="J9" s="397"/>
      <c r="K9" s="397"/>
      <c r="L9" s="397"/>
      <c r="M9" s="397"/>
      <c r="N9" s="397"/>
      <c r="O9" s="397"/>
    </row>
    <row r="10" spans="2:15">
      <c r="B10" s="245"/>
      <c r="C10" s="397"/>
      <c r="D10" s="397"/>
      <c r="E10" s="397"/>
      <c r="F10" s="397"/>
      <c r="G10" s="397"/>
      <c r="H10" s="246"/>
      <c r="I10" s="397"/>
      <c r="J10" s="397"/>
      <c r="K10" s="397"/>
      <c r="L10" s="397"/>
      <c r="M10" s="397"/>
      <c r="N10" s="575"/>
      <c r="O10" s="575"/>
    </row>
    <row r="11" spans="2:15">
      <c r="B11" s="214" t="s">
        <v>1081</v>
      </c>
      <c r="C11" s="397"/>
      <c r="D11" s="397"/>
      <c r="E11" s="397"/>
      <c r="F11" s="397"/>
      <c r="G11" s="397"/>
      <c r="H11" s="246"/>
      <c r="I11" s="397"/>
      <c r="J11" s="397"/>
      <c r="K11" s="397"/>
      <c r="L11" s="397"/>
      <c r="M11" s="397"/>
      <c r="N11" s="397"/>
      <c r="O11" s="397"/>
    </row>
    <row r="12" spans="2:15">
      <c r="B12" s="214" t="s">
        <v>1082</v>
      </c>
      <c r="C12" s="397"/>
      <c r="D12" s="397"/>
      <c r="E12" s="397"/>
      <c r="F12" s="397"/>
      <c r="G12" s="397"/>
      <c r="H12" s="246"/>
      <c r="I12" s="397"/>
      <c r="J12" s="397"/>
      <c r="K12" s="397"/>
      <c r="L12" s="397"/>
      <c r="M12" s="397"/>
      <c r="N12" s="397"/>
      <c r="O12" s="397"/>
    </row>
    <row r="13" spans="2:15">
      <c r="B13" s="214" t="s">
        <v>1083</v>
      </c>
      <c r="C13" s="397"/>
      <c r="D13" s="397"/>
      <c r="E13" s="397"/>
      <c r="F13" s="397"/>
      <c r="G13" s="397"/>
      <c r="H13" s="246"/>
      <c r="I13" s="397"/>
      <c r="J13" s="397"/>
      <c r="K13" s="397"/>
      <c r="L13" s="397"/>
      <c r="M13" s="397"/>
      <c r="N13" s="397"/>
      <c r="O13" s="397"/>
    </row>
    <row r="14" spans="2:15">
      <c r="B14" s="245"/>
      <c r="C14" s="397"/>
      <c r="D14" s="397"/>
      <c r="E14" s="397"/>
      <c r="F14" s="397"/>
      <c r="G14" s="397"/>
      <c r="H14" s="246"/>
      <c r="I14" s="397"/>
      <c r="J14" s="397"/>
      <c r="K14" s="397"/>
      <c r="L14" s="397"/>
      <c r="M14" s="397"/>
      <c r="N14" s="397"/>
      <c r="O14" s="397"/>
    </row>
    <row r="15" spans="2:15">
      <c r="B15" s="245"/>
      <c r="C15" s="397"/>
      <c r="D15" s="397"/>
      <c r="E15" s="397"/>
      <c r="F15" s="397"/>
      <c r="G15" s="397"/>
      <c r="H15" s="246"/>
      <c r="I15" s="397"/>
      <c r="J15" s="397"/>
      <c r="K15" s="397"/>
      <c r="L15" s="397"/>
      <c r="M15" s="397"/>
      <c r="N15" s="397"/>
      <c r="O15" s="397"/>
    </row>
    <row r="16" spans="2:15" ht="27" customHeight="1">
      <c r="B16" s="262" t="s">
        <v>1084</v>
      </c>
      <c r="C16" s="156"/>
      <c r="D16" s="156"/>
      <c r="E16" s="156"/>
      <c r="F16" s="156"/>
      <c r="G16" s="397"/>
      <c r="H16" s="263">
        <f>SUM(G29:G53)</f>
        <v>0</v>
      </c>
      <c r="I16" s="264"/>
      <c r="J16" s="264"/>
      <c r="K16" s="264"/>
      <c r="L16" s="397"/>
      <c r="M16" s="397"/>
      <c r="N16" s="397"/>
      <c r="O16" s="397"/>
    </row>
    <row r="17" spans="2:14">
      <c r="B17" s="245"/>
      <c r="C17" s="397"/>
      <c r="D17" s="397"/>
      <c r="E17" s="397"/>
      <c r="F17" s="397"/>
      <c r="G17" s="397"/>
      <c r="H17" s="246"/>
      <c r="I17" s="397"/>
      <c r="J17" s="397"/>
      <c r="K17" s="397"/>
      <c r="L17" s="397"/>
      <c r="M17" s="397"/>
      <c r="N17" s="397"/>
    </row>
    <row r="18" spans="2:14">
      <c r="B18" s="245"/>
      <c r="C18" s="397"/>
      <c r="D18" s="397"/>
      <c r="E18" s="397"/>
      <c r="F18" s="397"/>
      <c r="G18" s="397"/>
      <c r="H18" s="246"/>
      <c r="I18" s="397"/>
      <c r="J18" s="397"/>
      <c r="K18" s="397"/>
      <c r="L18" s="397"/>
      <c r="M18" s="397"/>
      <c r="N18" s="397"/>
    </row>
    <row r="19" spans="2:14">
      <c r="B19" s="576" t="s">
        <v>1085</v>
      </c>
      <c r="C19" s="577"/>
      <c r="D19" s="578"/>
      <c r="E19" s="556"/>
      <c r="F19" s="556"/>
      <c r="G19" s="397"/>
      <c r="H19" s="265" t="s">
        <v>1086</v>
      </c>
      <c r="I19" s="556"/>
      <c r="J19" s="556"/>
      <c r="K19" s="556"/>
      <c r="L19" s="397"/>
      <c r="M19" s="397"/>
      <c r="N19" s="397"/>
    </row>
    <row r="20" spans="2:14" ht="15">
      <c r="B20" s="579"/>
      <c r="C20" s="580"/>
      <c r="D20" s="581"/>
      <c r="E20" s="397"/>
      <c r="F20" s="397"/>
      <c r="G20" s="397"/>
      <c r="H20" s="26"/>
      <c r="I20" s="266"/>
      <c r="J20" s="266"/>
      <c r="K20" s="266"/>
      <c r="L20" s="397"/>
      <c r="M20" s="397"/>
      <c r="N20" s="397"/>
    </row>
    <row r="21" spans="2:14">
      <c r="B21" s="582"/>
      <c r="C21" s="583"/>
      <c r="D21" s="584"/>
      <c r="E21" s="17"/>
      <c r="F21" s="17"/>
      <c r="G21" s="397"/>
      <c r="H21" s="27"/>
      <c r="I21" s="267"/>
      <c r="J21" s="267"/>
      <c r="K21" s="267"/>
      <c r="L21" s="397"/>
      <c r="M21" s="397"/>
      <c r="N21" s="397"/>
    </row>
    <row r="22" spans="2:14" ht="13.8" thickBot="1">
      <c r="B22" s="256"/>
      <c r="C22" s="17"/>
      <c r="D22" s="17"/>
      <c r="E22" s="17"/>
      <c r="F22" s="17"/>
      <c r="G22" s="397"/>
      <c r="H22" s="268"/>
      <c r="I22" s="267"/>
      <c r="J22" s="267"/>
      <c r="K22" s="267"/>
      <c r="L22" s="397"/>
      <c r="M22" s="397"/>
      <c r="N22" s="397"/>
    </row>
    <row r="23" spans="2:14">
      <c r="B23" s="591" t="s">
        <v>1087</v>
      </c>
      <c r="C23" s="592"/>
      <c r="D23" s="592"/>
      <c r="E23" s="592"/>
      <c r="F23" s="592"/>
      <c r="G23" s="593"/>
      <c r="H23" s="268"/>
      <c r="I23" s="12"/>
      <c r="J23" s="267"/>
      <c r="K23" s="267"/>
      <c r="L23" s="397"/>
      <c r="M23" s="397"/>
      <c r="N23" s="397"/>
    </row>
    <row r="24" spans="2:14">
      <c r="B24" s="594"/>
      <c r="C24" s="595"/>
      <c r="D24" s="595"/>
      <c r="E24" s="595"/>
      <c r="F24" s="595"/>
      <c r="G24" s="596"/>
      <c r="H24" s="246"/>
      <c r="I24" s="397"/>
      <c r="J24" s="397"/>
      <c r="K24" s="397"/>
      <c r="L24" s="397"/>
      <c r="M24" s="397"/>
      <c r="N24" s="397"/>
    </row>
    <row r="25" spans="2:14" ht="13.8" thickBot="1">
      <c r="B25" s="597"/>
      <c r="C25" s="598"/>
      <c r="D25" s="598"/>
      <c r="E25" s="598"/>
      <c r="F25" s="598"/>
      <c r="G25" s="599"/>
      <c r="H25" s="208"/>
      <c r="I25" s="397"/>
      <c r="J25" s="397"/>
      <c r="K25" s="397"/>
      <c r="L25" s="397"/>
      <c r="M25" s="397"/>
      <c r="N25" s="397"/>
    </row>
    <row r="28" spans="2:14" ht="13.8" thickBot="1">
      <c r="B28" s="204" t="s">
        <v>1088</v>
      </c>
      <c r="C28" s="585" t="s">
        <v>1089</v>
      </c>
      <c r="D28" s="586"/>
      <c r="E28" s="587"/>
      <c r="F28" s="204"/>
      <c r="G28" s="557" t="s">
        <v>1090</v>
      </c>
      <c r="H28" s="557" t="s">
        <v>1091</v>
      </c>
      <c r="I28" s="555" t="s">
        <v>1092</v>
      </c>
      <c r="J28" s="555" t="s">
        <v>1093</v>
      </c>
      <c r="K28" s="347"/>
      <c r="L28" s="397"/>
      <c r="M28" s="397"/>
      <c r="N28" s="397"/>
    </row>
    <row r="29" spans="2:14" s="2" customFormat="1" ht="20.100000000000001" customHeight="1">
      <c r="B29" s="269" t="s">
        <v>1094</v>
      </c>
      <c r="C29" s="270">
        <v>11619</v>
      </c>
      <c r="D29" s="36">
        <f>LOOKUP(B$5,CAUTAU,Allocations!C$4:C$92)</f>
        <v>550</v>
      </c>
      <c r="E29" s="271">
        <v>9000</v>
      </c>
      <c r="F29" s="269"/>
      <c r="G29" s="272">
        <f>'III-B - #11619'!B35</f>
        <v>0</v>
      </c>
      <c r="H29" s="272">
        <f>'III-B - #11619'!C35</f>
        <v>0</v>
      </c>
      <c r="I29" s="272" t="e">
        <f>'III-B - #11619'!F6</f>
        <v>#N/A</v>
      </c>
      <c r="J29" s="273">
        <f>IF(H29=0,0,H29/I29)</f>
        <v>0</v>
      </c>
      <c r="K29" s="17" t="str">
        <f>IF(OR('III-B - #11619'!N1="x",'III-B - #11619'!N2="x"),"X","")</f>
        <v/>
      </c>
      <c r="L29" s="1" t="str">
        <f t="shared" ref="L29:L53" si="0">IF(K29="X","There are errors on this form, please correct before submitting.","")</f>
        <v/>
      </c>
      <c r="N29" s="17"/>
    </row>
    <row r="30" spans="2:14" s="2" customFormat="1" ht="20.100000000000001" customHeight="1">
      <c r="B30" s="274" t="s">
        <v>1095</v>
      </c>
      <c r="C30" s="275">
        <v>12019</v>
      </c>
      <c r="D30" s="37">
        <f>LOOKUP(B$5,CAUTAU,Allocations!C$4:C$92)</f>
        <v>550</v>
      </c>
      <c r="E30" s="276">
        <v>9000</v>
      </c>
      <c r="F30" s="274"/>
      <c r="G30" s="272">
        <f>'III-C 1 - #12019'!B35</f>
        <v>0</v>
      </c>
      <c r="H30" s="272">
        <f>'III-C 1 - #12019'!C35</f>
        <v>0</v>
      </c>
      <c r="I30" s="277" t="e">
        <f>'III-C 1 - #12019'!F6</f>
        <v>#N/A</v>
      </c>
      <c r="J30" s="278">
        <f t="shared" ref="J30:J50" si="1">IF(H30=0,0,H30/I30)</f>
        <v>0</v>
      </c>
      <c r="K30" s="17" t="str">
        <f>IF(OR('III-C 1 - #12019'!N1="x",'III-C 1 - #12019'!N2="x"),"X","")</f>
        <v/>
      </c>
      <c r="L30" s="1" t="str">
        <f t="shared" si="0"/>
        <v/>
      </c>
      <c r="N30" s="17"/>
    </row>
    <row r="31" spans="2:14" s="2" customFormat="1" ht="20.100000000000001" customHeight="1">
      <c r="B31" s="274" t="s">
        <v>1096</v>
      </c>
      <c r="C31" s="275">
        <v>12119</v>
      </c>
      <c r="D31" s="37">
        <f>LOOKUP(B$5,CAUTAU,Allocations!C$4:C$92)</f>
        <v>550</v>
      </c>
      <c r="E31" s="276">
        <v>9000</v>
      </c>
      <c r="F31" s="274"/>
      <c r="G31" s="272">
        <f>'III-C2 - #12119'!B35</f>
        <v>0</v>
      </c>
      <c r="H31" s="272">
        <f>'III-C2 - #12119'!C35</f>
        <v>0</v>
      </c>
      <c r="I31" s="277" t="e">
        <f>'III-C2 - #12119'!F6</f>
        <v>#N/A</v>
      </c>
      <c r="J31" s="278">
        <f t="shared" si="1"/>
        <v>0</v>
      </c>
      <c r="K31" s="17" t="str">
        <f>IF(OR('III-C2 - #12119'!N1="x",'III-C2 - #12119'!N2="x"),"X","")</f>
        <v/>
      </c>
      <c r="L31" s="1" t="str">
        <f t="shared" si="0"/>
        <v/>
      </c>
      <c r="N31" s="17"/>
    </row>
    <row r="32" spans="2:14" s="2" customFormat="1" ht="20.100000000000001" customHeight="1">
      <c r="B32" s="285" t="s">
        <v>1097</v>
      </c>
      <c r="C32" s="275">
        <v>13219</v>
      </c>
      <c r="D32" s="37">
        <f>LOOKUP(B$5,CAUTAU,Allocations!C$4:C$92)</f>
        <v>550</v>
      </c>
      <c r="E32" s="276">
        <v>9000</v>
      </c>
      <c r="F32" s="274"/>
      <c r="G32" s="272">
        <f>'NSIP 18-19 - #13219'!B35</f>
        <v>0</v>
      </c>
      <c r="H32" s="272">
        <f>'NSIP 18-19 - #13219'!C35</f>
        <v>0</v>
      </c>
      <c r="I32" s="277" t="e">
        <f>'NSIP 18-19 - #13219'!F6</f>
        <v>#N/A</v>
      </c>
      <c r="J32" s="278">
        <f t="shared" si="1"/>
        <v>0</v>
      </c>
      <c r="K32" s="17" t="str">
        <f>IF(OR('NSIP 18-19 - #13219'!N2="x",'NSIP 18-19 - #13219'!N1="x"),"X","")</f>
        <v/>
      </c>
      <c r="L32" s="1" t="str">
        <f t="shared" si="0"/>
        <v/>
      </c>
      <c r="N32" s="17"/>
    </row>
    <row r="33" spans="2:15" s="2" customFormat="1" ht="20.100000000000001" customHeight="1">
      <c r="B33" s="279" t="s">
        <v>1098</v>
      </c>
      <c r="C33" s="298">
        <v>13218</v>
      </c>
      <c r="D33" s="297">
        <f>LOOKUP(B$5,CAUTAU,Allocations!C$4:C$92)</f>
        <v>550</v>
      </c>
      <c r="E33" s="299">
        <v>9000</v>
      </c>
      <c r="F33" s="281"/>
      <c r="G33" s="282">
        <f>'NSIP 17-18 - #13218'!B35</f>
        <v>0</v>
      </c>
      <c r="H33" s="282">
        <f>'NSIP 17-18 - #13218'!C35</f>
        <v>0</v>
      </c>
      <c r="I33" s="283" t="e">
        <f>'NSIP 17-18 - #13218'!F6</f>
        <v>#N/A</v>
      </c>
      <c r="J33" s="284">
        <f t="shared" si="1"/>
        <v>0</v>
      </c>
      <c r="K33" s="17" t="str">
        <f>IF(OR('NSIP 17-18 - #13218'!N1="x",'NSIP 17-18 - #13218'!N2="x"),"X","")</f>
        <v/>
      </c>
      <c r="L33" s="1" t="str">
        <f t="shared" si="0"/>
        <v/>
      </c>
    </row>
    <row r="34" spans="2:15" s="2" customFormat="1" ht="20.100000000000001" customHeight="1">
      <c r="B34" s="274" t="s">
        <v>1099</v>
      </c>
      <c r="C34" s="275">
        <v>12419</v>
      </c>
      <c r="D34" s="37">
        <f>LOOKUP(B$5,CAUTAU,Allocations!C$4:C$92)</f>
        <v>550</v>
      </c>
      <c r="E34" s="276">
        <v>9000</v>
      </c>
      <c r="F34" s="274"/>
      <c r="G34" s="272">
        <f>'III-D - #12419'!B35</f>
        <v>0</v>
      </c>
      <c r="H34" s="272">
        <f>'III-D - #12419'!C35</f>
        <v>0</v>
      </c>
      <c r="I34" s="277" t="e">
        <f>'III-D - #12419'!F6</f>
        <v>#N/A</v>
      </c>
      <c r="J34" s="278">
        <f t="shared" si="1"/>
        <v>0</v>
      </c>
      <c r="K34" s="17" t="str">
        <f>IF(OR('III-D - #12419'!N1="x",'III-D - #12419'!N2="x"),"X","")</f>
        <v/>
      </c>
      <c r="L34" s="1" t="str">
        <f t="shared" si="0"/>
        <v/>
      </c>
    </row>
    <row r="35" spans="2:15" s="2" customFormat="1" ht="20.100000000000001" customHeight="1">
      <c r="B35" s="274" t="s">
        <v>1100</v>
      </c>
      <c r="C35" s="275">
        <v>12519</v>
      </c>
      <c r="D35" s="37">
        <f>LOOKUP(B$5,CAUTAU,Allocations!C$4:C$92)</f>
        <v>550</v>
      </c>
      <c r="E35" s="276">
        <v>9000</v>
      </c>
      <c r="F35" s="274"/>
      <c r="G35" s="272">
        <f>'III-E - #12519'!B38</f>
        <v>0</v>
      </c>
      <c r="H35" s="272">
        <f>'III-E - #12519'!C38</f>
        <v>0</v>
      </c>
      <c r="I35" s="277" t="e">
        <f>'III-E - #12519'!F6</f>
        <v>#N/A</v>
      </c>
      <c r="J35" s="278">
        <f t="shared" si="1"/>
        <v>0</v>
      </c>
      <c r="K35" s="17" t="str">
        <f>IF(OR('III-E - #12519'!N1="x",'III-E - #12519'!N2="x"),"X","")</f>
        <v/>
      </c>
      <c r="L35" s="1" t="str">
        <f t="shared" si="0"/>
        <v/>
      </c>
    </row>
    <row r="36" spans="2:15" s="2" customFormat="1" ht="20.100000000000001" customHeight="1">
      <c r="B36" s="274" t="s">
        <v>1101</v>
      </c>
      <c r="C36" s="275">
        <v>12219</v>
      </c>
      <c r="D36" s="37">
        <f>LOOKUP(B$5,CAUTAU,Allocations!C$4:C$92)</f>
        <v>550</v>
      </c>
      <c r="E36" s="276">
        <v>9000</v>
      </c>
      <c r="F36" s="274"/>
      <c r="G36" s="272">
        <f>'Alzheimers FC Support - #12219'!B35</f>
        <v>0</v>
      </c>
      <c r="H36" s="272">
        <f>'Alzheimers FC Support - #12219'!C35</f>
        <v>0</v>
      </c>
      <c r="I36" s="277" t="e">
        <f>'Alzheimers FC Support - #12219'!F6</f>
        <v>#N/A</v>
      </c>
      <c r="J36" s="278">
        <f t="shared" si="1"/>
        <v>0</v>
      </c>
      <c r="K36" s="17" t="str">
        <f>IF(OR('Alzheimers FC Support - #12219'!N1="x",'Alzheimers FC Support - #12219'!N2="x"),"X","")</f>
        <v/>
      </c>
      <c r="L36" s="1" t="str">
        <f>IF(K36="X","There are errors on this form, please correct before submitting.","")</f>
        <v/>
      </c>
    </row>
    <row r="37" spans="2:15" s="2" customFormat="1" ht="20.100000000000001" customHeight="1">
      <c r="B37" s="274" t="s">
        <v>1102</v>
      </c>
      <c r="C37" s="275">
        <v>11519</v>
      </c>
      <c r="D37" s="37">
        <f>LOOKUP(B$5,CAUTAU,Allocations!C$4:C$92)</f>
        <v>550</v>
      </c>
      <c r="E37" s="276">
        <v>9000</v>
      </c>
      <c r="F37" s="274"/>
      <c r="G37" s="272">
        <f>'SCS - #11519'!B35</f>
        <v>0</v>
      </c>
      <c r="H37" s="272">
        <f>'SCS - #11519'!C35</f>
        <v>0</v>
      </c>
      <c r="I37" s="277" t="e">
        <f>'SCS - #11519'!F6</f>
        <v>#N/A</v>
      </c>
      <c r="J37" s="278">
        <f t="shared" si="1"/>
        <v>0</v>
      </c>
      <c r="K37" s="17" t="str">
        <f>IF(OR('SCS - #11519'!N1="x",'SCS - #11519'!N2="x"),"X","")</f>
        <v/>
      </c>
      <c r="L37" s="1" t="str">
        <f t="shared" si="0"/>
        <v/>
      </c>
      <c r="N37" s="17"/>
    </row>
    <row r="38" spans="2:15" s="2" customFormat="1" ht="20.100000000000001" customHeight="1">
      <c r="B38" s="274" t="s">
        <v>1103</v>
      </c>
      <c r="C38" s="275">
        <v>72019</v>
      </c>
      <c r="D38" s="37">
        <f>LOOKUP(B$5,CAUTAU,Allocations!C$4:C$92)</f>
        <v>550</v>
      </c>
      <c r="E38" s="276">
        <v>9000</v>
      </c>
      <c r="F38" s="274"/>
      <c r="G38" s="272">
        <f>'Benefit Spec I&amp;A Repl #72019'!B35</f>
        <v>0</v>
      </c>
      <c r="H38" s="272">
        <f>'Benefit Spec I&amp;A Repl #72019'!C35</f>
        <v>0</v>
      </c>
      <c r="I38" s="277"/>
      <c r="J38" s="278"/>
      <c r="K38" s="17" t="str">
        <f>IF(OR('Benefit Spec I&amp;A Repl #72019'!N1="x",'Benefit Spec I&amp;A Repl #72019'!N2="x"),"X","")</f>
        <v/>
      </c>
      <c r="L38" s="1" t="str">
        <f t="shared" si="0"/>
        <v/>
      </c>
    </row>
    <row r="39" spans="2:15" s="2" customFormat="1" ht="20.100000000000001" customHeight="1">
      <c r="B39" s="274" t="s">
        <v>1104</v>
      </c>
      <c r="C39" s="275">
        <v>73019</v>
      </c>
      <c r="D39" s="37">
        <f>LOOKUP(B$5,CAUTAU,Allocations!C$4:C$92)</f>
        <v>550</v>
      </c>
      <c r="E39" s="276">
        <v>9000</v>
      </c>
      <c r="F39" s="274"/>
      <c r="G39" s="272">
        <f>'Ben Spec Other Repl - #73019'!B35</f>
        <v>0</v>
      </c>
      <c r="H39" s="272">
        <f>'Ben Spec Other Repl - #73019'!C35</f>
        <v>0</v>
      </c>
      <c r="I39" s="277" t="e">
        <f>'Ben Spec Other Repl - #73019'!F6</f>
        <v>#N/A</v>
      </c>
      <c r="J39" s="278">
        <f>IF(H39+H38=0,0,(H39+H38)/I39)</f>
        <v>0</v>
      </c>
      <c r="K39" s="17" t="str">
        <f>IF(OR('Ben Spec Other Repl - #73019'!N1="x",'Ben Spec Other Repl - #73019'!N2="x"),"X","")</f>
        <v/>
      </c>
      <c r="L39" s="1" t="str">
        <f t="shared" si="0"/>
        <v/>
      </c>
    </row>
    <row r="40" spans="2:15" s="2" customFormat="1" ht="20.100000000000001" customHeight="1">
      <c r="B40" s="274"/>
      <c r="C40" s="275"/>
      <c r="D40" s="37"/>
      <c r="E40" s="276"/>
      <c r="F40" s="274"/>
      <c r="G40" s="272"/>
      <c r="H40" s="272"/>
      <c r="I40" s="277"/>
      <c r="J40" s="278"/>
      <c r="K40" s="17"/>
      <c r="L40" s="1"/>
      <c r="M40" s="238"/>
      <c r="N40" s="238"/>
      <c r="O40" s="238"/>
    </row>
    <row r="41" spans="2:15" s="2" customFormat="1" ht="20.100000000000001" customHeight="1">
      <c r="B41" s="285" t="s">
        <v>1106</v>
      </c>
      <c r="C41" s="275">
        <v>13019</v>
      </c>
      <c r="D41" s="37">
        <f>LOOKUP(B$5,CAUTAU,Allocations!C$4:C$92)</f>
        <v>550</v>
      </c>
      <c r="E41" s="276">
        <v>9000</v>
      </c>
      <c r="F41" s="274"/>
      <c r="G41" s="272">
        <f>'EBS OCI Repl (SPAP)18-19-#13019'!B35</f>
        <v>0</v>
      </c>
      <c r="H41" s="272">
        <f>'EBS OCI Repl (SPAP)18-19-#13019'!C35</f>
        <v>0</v>
      </c>
      <c r="I41" s="286" t="e">
        <f>'EBS OCI Repl (SPAP)18-19-#13019'!F6</f>
        <v>#N/A</v>
      </c>
      <c r="J41" s="287">
        <f>IF(H41+H42+H43=0,0,(H41+H42+H43)/I41)</f>
        <v>0</v>
      </c>
      <c r="K41" s="17" t="str">
        <f>IF(OR('EBS OCI Repl (SPAP)18-19-#13019'!N1="x",'EBS OCI Repl (SPAP)18-19-#13019'!N2="x"),"X","")</f>
        <v/>
      </c>
      <c r="L41" s="1" t="str">
        <f t="shared" si="0"/>
        <v/>
      </c>
      <c r="M41" s="238"/>
      <c r="N41" s="238"/>
      <c r="O41" s="238"/>
    </row>
    <row r="42" spans="2:15" s="2" customFormat="1" ht="20.100000000000001" customHeight="1">
      <c r="B42" s="285" t="s">
        <v>1107</v>
      </c>
      <c r="C42" s="138">
        <v>74009</v>
      </c>
      <c r="D42" s="37">
        <f>LOOKUP(B$5,CAUTAU,Allocations!C$4:C$92)</f>
        <v>550</v>
      </c>
      <c r="E42" s="276">
        <v>9000</v>
      </c>
      <c r="F42" s="274"/>
      <c r="G42" s="272">
        <f>'EBS OCI Repl 18-19-#74009 75010'!B35</f>
        <v>0</v>
      </c>
      <c r="H42" s="272">
        <f>'EBS OCI Repl 18-19-#74009 75010'!C35</f>
        <v>0</v>
      </c>
      <c r="I42" s="286"/>
      <c r="J42" s="287"/>
      <c r="K42" s="17" t="str">
        <f>IF(OR('EBS OCI Repl 18-19-#74009 75010'!N1="x",'EBS OCI Repl 18-19-#74009 75010'!N2="x"),"X","")</f>
        <v/>
      </c>
      <c r="L42" s="1" t="str">
        <f t="shared" si="0"/>
        <v/>
      </c>
    </row>
    <row r="43" spans="2:15" s="2" customFormat="1" ht="20.100000000000001" customHeight="1">
      <c r="B43" s="285" t="s">
        <v>1108</v>
      </c>
      <c r="C43" s="138">
        <v>75009</v>
      </c>
      <c r="D43" s="37">
        <f>LOOKUP(B$5,CAUTAU,Allocations!C$4:C$92)</f>
        <v>550</v>
      </c>
      <c r="E43" s="276">
        <v>9000</v>
      </c>
      <c r="F43" s="274"/>
      <c r="G43" s="272">
        <f>'EBS OCI Repl-Othr 18-19-#75009'!B35</f>
        <v>0</v>
      </c>
      <c r="H43" s="272">
        <f>'EBS OCI Repl-Othr 18-19-#75009'!C35</f>
        <v>0</v>
      </c>
      <c r="I43" s="286"/>
      <c r="J43" s="287"/>
      <c r="K43" s="17" t="str">
        <f>IF(OR('EBS OCI Repl-Othr 18-19-#75009'!N1="x",'EBS OCI Repl-Othr 18-19-#75009'!N2="x"),"X","")</f>
        <v/>
      </c>
      <c r="L43" s="1" t="str">
        <f t="shared" si="0"/>
        <v/>
      </c>
    </row>
    <row r="44" spans="2:15" s="2" customFormat="1" ht="20.100000000000001" customHeight="1">
      <c r="B44" s="279" t="s">
        <v>1109</v>
      </c>
      <c r="C44" s="298">
        <v>74009</v>
      </c>
      <c r="D44" s="297">
        <f>LOOKUP(B$5,CAUTAU,Allocations!C$4:C$92)</f>
        <v>550</v>
      </c>
      <c r="E44" s="299">
        <v>9000</v>
      </c>
      <c r="F44" s="279"/>
      <c r="G44" s="282">
        <f>'EBS OCI Repl 17-18-#74009 75010'!B35</f>
        <v>0</v>
      </c>
      <c r="H44" s="282">
        <f>'EBS OCI Repl 17-18-#74009 75010'!G35</f>
        <v>0</v>
      </c>
      <c r="I44" s="300">
        <v>0</v>
      </c>
      <c r="J44" s="301"/>
      <c r="K44" s="17" t="str">
        <f>IF(OR('EBS OCI Repl 17-18-#74009 75010'!N1="x",'EBS OCI Repl 17-18-#74009 75010'!N2="x"),"X","")</f>
        <v/>
      </c>
      <c r="L44" s="1" t="str">
        <f t="shared" si="0"/>
        <v/>
      </c>
    </row>
    <row r="45" spans="2:15" s="2" customFormat="1" ht="20.100000000000001" customHeight="1">
      <c r="B45" s="279" t="s">
        <v>1110</v>
      </c>
      <c r="C45" s="298">
        <v>75009</v>
      </c>
      <c r="D45" s="297">
        <f>LOOKUP(B$5,CAUTAU,Allocations!C$4:C$92)</f>
        <v>550</v>
      </c>
      <c r="E45" s="299">
        <v>9000</v>
      </c>
      <c r="F45" s="279"/>
      <c r="G45" s="282">
        <f>'EBS OCI Repl-Othr 17-18-#75009 '!B35</f>
        <v>0</v>
      </c>
      <c r="H45" s="282">
        <f>'EBS OCI Repl-Othr 17-18-#75009 '!G35</f>
        <v>0</v>
      </c>
      <c r="I45" s="300">
        <v>0</v>
      </c>
      <c r="J45" s="301"/>
      <c r="K45" s="17" t="str">
        <f>IF(OR('EBS OCI Repl-Othr 17-18-#75009 '!N1="x",'EBS OCI Repl-Othr 17-18-#75009 '!N2="x"),"X","")</f>
        <v/>
      </c>
      <c r="L45" s="1" t="str">
        <f t="shared" si="0"/>
        <v/>
      </c>
    </row>
    <row r="46" spans="2:15" s="2" customFormat="1" ht="20.100000000000001" customHeight="1">
      <c r="B46" s="279" t="s">
        <v>1111</v>
      </c>
      <c r="C46" s="298">
        <v>13018</v>
      </c>
      <c r="D46" s="297">
        <f>LOOKUP(B$5,CAUTAU,Allocations!C$4:C$92)</f>
        <v>550</v>
      </c>
      <c r="E46" s="299">
        <v>9000</v>
      </c>
      <c r="F46" s="279"/>
      <c r="G46" s="282">
        <f>'EBS OCI Repl (SPAP)17-18-#13018'!B35</f>
        <v>0</v>
      </c>
      <c r="H46" s="282">
        <f>'EBS OCI Repl (SPAP)17-18-#13018'!G35</f>
        <v>0</v>
      </c>
      <c r="I46" s="300" t="e">
        <f>'EBS OCI Repl (SPAP)17-18-#13018'!F6</f>
        <v>#N/A</v>
      </c>
      <c r="J46" s="301">
        <f>IF(H46+H44+H45=0,0,(H46+H44+H45)/I46)</f>
        <v>0</v>
      </c>
      <c r="K46" s="17" t="str">
        <f>IF(OR('EBS OCI Repl (SPAP)17-18-#13018'!N1="x",'EBS OCI Repl (SPAP)17-18-#13018'!N2="x"),"X","")</f>
        <v/>
      </c>
      <c r="L46" s="1" t="str">
        <f t="shared" si="0"/>
        <v/>
      </c>
      <c r="N46" s="17"/>
    </row>
    <row r="47" spans="2:15" s="2" customFormat="1" ht="20.100000000000001" customHeight="1">
      <c r="B47" s="197" t="s">
        <v>1112</v>
      </c>
      <c r="C47" s="138">
        <v>12719</v>
      </c>
      <c r="D47" s="37">
        <f>LOOKUP(B$5,CAUTAU,Allocations!C$4:C$92)</f>
        <v>550</v>
      </c>
      <c r="E47" s="276">
        <v>9000</v>
      </c>
      <c r="F47" s="38"/>
      <c r="G47" s="272">
        <f>'SHIP Original 18-19 - #12719'!B35</f>
        <v>0</v>
      </c>
      <c r="H47" s="272">
        <f>'SHIP Original 18-19 - #12719'!C35</f>
        <v>0</v>
      </c>
      <c r="I47" s="286" t="e">
        <f>'SHIP Original 18-19 - #12719'!F6</f>
        <v>#N/A</v>
      </c>
      <c r="J47" s="287">
        <f>IF(H47=0,0,H47/I47)</f>
        <v>0</v>
      </c>
      <c r="K47" s="17" t="str">
        <f>IF(OR('SHIP Original 18-19 - #12719'!N2="x",'SHIP Original 18-19 - #12719'!N1="x"),"X","")</f>
        <v/>
      </c>
      <c r="L47" s="1" t="str">
        <f t="shared" si="0"/>
        <v/>
      </c>
      <c r="N47" s="397"/>
    </row>
    <row r="48" spans="2:15" s="2" customFormat="1" ht="20.100000000000001" customHeight="1">
      <c r="B48" s="341" t="s">
        <v>1113</v>
      </c>
      <c r="C48" s="342">
        <v>12718</v>
      </c>
      <c r="D48" s="297">
        <f>LOOKUP(B$5,CAUTAU,Allocations!C$4:C$92)</f>
        <v>550</v>
      </c>
      <c r="E48" s="299">
        <v>9000</v>
      </c>
      <c r="F48" s="343"/>
      <c r="G48" s="282">
        <f>'SHIP Original 17-18 - #12718'!B35</f>
        <v>0</v>
      </c>
      <c r="H48" s="282">
        <f>'SHIP Original 17-18 - #12718'!F35</f>
        <v>0</v>
      </c>
      <c r="I48" s="300" t="e">
        <f>'SHIP Original 17-18 - #12718'!F6</f>
        <v>#N/A</v>
      </c>
      <c r="J48" s="301">
        <f>IF(H48=0,0,H48/I48)</f>
        <v>0</v>
      </c>
      <c r="K48" s="17" t="str">
        <f>IF(OR('SHIP Original 17-18 - #12718'!N1="x",'SHIP Original 17-18 - #12718'!N2="x"),"X","")</f>
        <v/>
      </c>
      <c r="L48" s="1" t="str">
        <f t="shared" si="0"/>
        <v/>
      </c>
      <c r="N48" s="397"/>
    </row>
    <row r="49" spans="2:15" s="2" customFormat="1" ht="20.100000000000001" customHeight="1">
      <c r="B49" s="134" t="s">
        <v>1114</v>
      </c>
      <c r="C49" s="135">
        <v>75018</v>
      </c>
      <c r="D49" s="136">
        <f>LOOKUP(B$5,CAUTAU,Allocations!C$4:C$92)</f>
        <v>550</v>
      </c>
      <c r="E49" s="280">
        <v>7200</v>
      </c>
      <c r="F49" s="134"/>
      <c r="G49" s="282">
        <f>'MIPPA 17-18 - #75018'!B35</f>
        <v>0</v>
      </c>
      <c r="H49" s="282">
        <f>'MIPPA 17-18 - #75018'!F35</f>
        <v>0</v>
      </c>
      <c r="I49" s="283" t="e">
        <f>'MIPPA 17-18 - #75018'!F6</f>
        <v>#N/A</v>
      </c>
      <c r="J49" s="284">
        <f t="shared" si="1"/>
        <v>0</v>
      </c>
      <c r="K49" s="17" t="str">
        <f>IF(OR('MIPPA 17-18 - #75018'!N1="x",'MIPPA 17-18 - #75018'!N2="x"),"X","")</f>
        <v/>
      </c>
      <c r="L49" s="1" t="str">
        <f t="shared" si="0"/>
        <v/>
      </c>
      <c r="M49" s="238"/>
      <c r="N49" s="238"/>
      <c r="O49" s="238"/>
    </row>
    <row r="50" spans="2:15" s="2" customFormat="1" ht="20.100000000000001" customHeight="1">
      <c r="B50" s="38" t="s">
        <v>1115</v>
      </c>
      <c r="C50" s="138">
        <v>75019</v>
      </c>
      <c r="D50" s="37">
        <f>LOOKUP(B$5,CAUTAU,Allocations!C$4:C$92)</f>
        <v>550</v>
      </c>
      <c r="E50" s="276">
        <v>7200</v>
      </c>
      <c r="F50" s="38"/>
      <c r="G50" s="272">
        <f>'MIPPA 18-19 - #75019'!B35</f>
        <v>0</v>
      </c>
      <c r="H50" s="272">
        <f>'MIPPA 18-19 - #75019'!C35</f>
        <v>0</v>
      </c>
      <c r="I50" s="277" t="e">
        <f>'MIPPA 18-19 - #75019'!F6</f>
        <v>#N/A</v>
      </c>
      <c r="J50" s="278">
        <f t="shared" si="1"/>
        <v>0</v>
      </c>
      <c r="K50" s="17" t="str">
        <f>IF(OR('MIPPA 18-19 - #75019'!N2="x",'MIPPA 18-19 - #75019'!N3="x"),"X","")</f>
        <v/>
      </c>
      <c r="L50" s="1" t="str">
        <f t="shared" si="0"/>
        <v/>
      </c>
      <c r="M50" s="238"/>
      <c r="N50" s="238"/>
      <c r="O50" s="238"/>
    </row>
    <row r="51" spans="2:15" s="2" customFormat="1" ht="20.100000000000001" customHeight="1">
      <c r="B51" s="132" t="s">
        <v>1116</v>
      </c>
      <c r="C51" s="110">
        <v>75010</v>
      </c>
      <c r="D51" s="109">
        <f>LOOKUP(B$5,CAUTAU,Allocations!C$4:C$92)</f>
        <v>550</v>
      </c>
      <c r="E51" s="288">
        <v>9100</v>
      </c>
      <c r="F51" s="274"/>
      <c r="G51" s="293">
        <f>'EBS OCI Repl 18-19-#74009 75010'!E39</f>
        <v>0</v>
      </c>
      <c r="H51" s="293">
        <f>'EBS OCI Repl 18-19-#74009 75010'!H39</f>
        <v>0</v>
      </c>
      <c r="I51" s="294"/>
      <c r="J51" s="294"/>
      <c r="K51" s="17" t="str">
        <f>IF(OR('EBS OCI Repl 18-19-#74009 75010'!N1="x",'EBS OCI Repl 18-19-#74009 75010'!N2="x"),"X","")</f>
        <v/>
      </c>
      <c r="L51" s="1" t="str">
        <f t="shared" si="0"/>
        <v/>
      </c>
    </row>
    <row r="52" spans="2:15" s="2" customFormat="1" ht="20.100000000000001" customHeight="1">
      <c r="B52" s="108" t="s">
        <v>1117</v>
      </c>
      <c r="C52" s="291">
        <v>74010</v>
      </c>
      <c r="D52" s="109">
        <f>LOOKUP(B$5,CAUTAU,Allocations!C$4:C$92)</f>
        <v>550</v>
      </c>
      <c r="E52" s="288">
        <v>9100</v>
      </c>
      <c r="F52" s="292"/>
      <c r="G52" s="293">
        <f>'Benefit Spec I&amp;A Repl #72019'!E39</f>
        <v>0</v>
      </c>
      <c r="H52" s="293">
        <f>'Benefit Spec I&amp;A Repl #72019'!H39</f>
        <v>0</v>
      </c>
      <c r="I52" s="294"/>
      <c r="J52" s="294"/>
      <c r="K52" s="17" t="str">
        <f>IF(OR('Benefit Spec I&amp;A Repl #72019'!N1="x",'Benefit Spec I&amp;A Repl #72019'!N2="x"),"X","")</f>
        <v/>
      </c>
      <c r="L52" s="1" t="str">
        <f t="shared" si="0"/>
        <v/>
      </c>
    </row>
    <row r="53" spans="2:15" s="2" customFormat="1" ht="20.100000000000001" customHeight="1">
      <c r="B53" s="137" t="s">
        <v>1118</v>
      </c>
      <c r="C53" s="123">
        <v>75010</v>
      </c>
      <c r="D53" s="124">
        <f>LOOKUP(B$5,CAUTAU,Allocations!C$4:C$92)</f>
        <v>550</v>
      </c>
      <c r="E53" s="289">
        <v>9100</v>
      </c>
      <c r="F53" s="302"/>
      <c r="G53" s="290">
        <f>'EBS OCI Repl 17-18-#74009 75010'!E39</f>
        <v>0</v>
      </c>
      <c r="H53" s="290">
        <f>'EBS OCI Repl 17-18-#74009 75010'!H39</f>
        <v>0</v>
      </c>
      <c r="I53" s="303"/>
      <c r="J53" s="303"/>
      <c r="K53" s="17" t="str">
        <f>IF(OR('EBS OCI Repl 17-18-#74009 75010'!N1="x",'EBS OCI Repl 17-18-#74009 75010'!N2="x"),"X","")</f>
        <v/>
      </c>
      <c r="L53" s="1" t="str">
        <f t="shared" si="0"/>
        <v/>
      </c>
    </row>
    <row r="54" spans="2:15" s="15" customFormat="1" ht="15.6">
      <c r="G54" s="295"/>
      <c r="H54" s="295"/>
      <c r="I54" s="295"/>
      <c r="J54" s="295"/>
      <c r="K54" s="295"/>
      <c r="L54" s="1"/>
    </row>
    <row r="55" spans="2:15" s="15" customFormat="1" ht="15.6">
      <c r="G55" s="296"/>
      <c r="H55" s="296"/>
      <c r="I55" s="296"/>
      <c r="L55" s="1"/>
    </row>
    <row r="56" spans="2:15" s="15" customFormat="1" ht="15.6">
      <c r="L56" s="1"/>
    </row>
    <row r="57" spans="2:15" s="15" customFormat="1" ht="15.6">
      <c r="I57" s="295"/>
      <c r="L57" s="1"/>
    </row>
    <row r="58" spans="2:15" s="15" customFormat="1"/>
    <row r="59" spans="2:15" s="15" customFormat="1"/>
    <row r="60" spans="2:15" s="15" customFormat="1"/>
    <row r="61" spans="2:15" s="15" customFormat="1"/>
    <row r="62" spans="2:15" s="15" customFormat="1"/>
    <row r="63" spans="2:15" s="15" customFormat="1"/>
  </sheetData>
  <sheetProtection password="C3C4" sheet="1" objects="1" scenarios="1"/>
  <mergeCells count="5">
    <mergeCell ref="B1:H1"/>
    <mergeCell ref="N10:O10"/>
    <mergeCell ref="B19:D21"/>
    <mergeCell ref="B23:G25"/>
    <mergeCell ref="C28:E28"/>
  </mergeCells>
  <conditionalFormatting sqref="L54:L57">
    <cfRule type="containsText" dxfId="809" priority="96" stopIfTrue="1" operator="containsText" text="You cannot">
      <formula>NOT(ISERROR(SEARCH("You cannot",L54)))</formula>
    </cfRule>
  </conditionalFormatting>
  <conditionalFormatting sqref="L54:L57">
    <cfRule type="containsText" dxfId="808" priority="94" stopIfTrue="1" operator="containsText" text="You have">
      <formula>NOT(ISERROR(SEARCH("You have",L54)))</formula>
    </cfRule>
    <cfRule type="containsText" dxfId="807" priority="95" stopIfTrue="1" operator="containsText" text="You cannot">
      <formula>NOT(ISERROR(SEARCH("You cannot",L54)))</formula>
    </cfRule>
  </conditionalFormatting>
  <conditionalFormatting sqref="L54:L57">
    <cfRule type="containsText" dxfId="806" priority="92" operator="containsText" text="There">
      <formula>NOT(ISERROR(SEARCH("There",L54)))</formula>
    </cfRule>
  </conditionalFormatting>
  <conditionalFormatting sqref="L29:L40 L44:L49">
    <cfRule type="containsText" dxfId="805" priority="48" stopIfTrue="1" operator="containsText" text="You cannot">
      <formula>NOT(ISERROR(SEARCH("You cannot",L29)))</formula>
    </cfRule>
  </conditionalFormatting>
  <conditionalFormatting sqref="L29:L40 L44:L49">
    <cfRule type="containsText" dxfId="804" priority="46" stopIfTrue="1" operator="containsText" text="You have">
      <formula>NOT(ISERROR(SEARCH("You have",L29)))</formula>
    </cfRule>
    <cfRule type="containsText" dxfId="803" priority="47" stopIfTrue="1" operator="containsText" text="You cannot">
      <formula>NOT(ISERROR(SEARCH("You cannot",L29)))</formula>
    </cfRule>
  </conditionalFormatting>
  <conditionalFormatting sqref="K34:K40 K44:K49">
    <cfRule type="cellIs" dxfId="802" priority="45" stopIfTrue="1" operator="equal">
      <formula>"X"</formula>
    </cfRule>
  </conditionalFormatting>
  <conditionalFormatting sqref="L29:L40 L44:L49">
    <cfRule type="containsText" dxfId="801" priority="44" operator="containsText" text="There">
      <formula>NOT(ISERROR(SEARCH("There",L29)))</formula>
    </cfRule>
  </conditionalFormatting>
  <conditionalFormatting sqref="K29:K40 K44:K49">
    <cfRule type="containsText" dxfId="800" priority="43" operator="containsText" text="X">
      <formula>NOT(ISERROR(SEARCH("X",K29)))</formula>
    </cfRule>
  </conditionalFormatting>
  <conditionalFormatting sqref="L41">
    <cfRule type="containsText" dxfId="799" priority="42" stopIfTrue="1" operator="containsText" text="You cannot">
      <formula>NOT(ISERROR(SEARCH("You cannot",L41)))</formula>
    </cfRule>
  </conditionalFormatting>
  <conditionalFormatting sqref="L41">
    <cfRule type="containsText" dxfId="798" priority="40" stopIfTrue="1" operator="containsText" text="You have">
      <formula>NOT(ISERROR(SEARCH("You have",L41)))</formula>
    </cfRule>
    <cfRule type="containsText" dxfId="797" priority="41" stopIfTrue="1" operator="containsText" text="You cannot">
      <formula>NOT(ISERROR(SEARCH("You cannot",L41)))</formula>
    </cfRule>
  </conditionalFormatting>
  <conditionalFormatting sqref="K41">
    <cfRule type="cellIs" dxfId="796" priority="39" stopIfTrue="1" operator="equal">
      <formula>"X"</formula>
    </cfRule>
  </conditionalFormatting>
  <conditionalFormatting sqref="L41">
    <cfRule type="containsText" dxfId="795" priority="38" operator="containsText" text="There">
      <formula>NOT(ISERROR(SEARCH("There",L41)))</formula>
    </cfRule>
  </conditionalFormatting>
  <conditionalFormatting sqref="K41">
    <cfRule type="containsText" dxfId="794" priority="37" operator="containsText" text="X">
      <formula>NOT(ISERROR(SEARCH("X",K41)))</formula>
    </cfRule>
  </conditionalFormatting>
  <conditionalFormatting sqref="L42">
    <cfRule type="containsText" dxfId="793" priority="36" stopIfTrue="1" operator="containsText" text="You cannot">
      <formula>NOT(ISERROR(SEARCH("You cannot",L42)))</formula>
    </cfRule>
  </conditionalFormatting>
  <conditionalFormatting sqref="L42">
    <cfRule type="containsText" dxfId="792" priority="34" stopIfTrue="1" operator="containsText" text="You have">
      <formula>NOT(ISERROR(SEARCH("You have",L42)))</formula>
    </cfRule>
    <cfRule type="containsText" dxfId="791" priority="35" stopIfTrue="1" operator="containsText" text="You cannot">
      <formula>NOT(ISERROR(SEARCH("You cannot",L42)))</formula>
    </cfRule>
  </conditionalFormatting>
  <conditionalFormatting sqref="K42">
    <cfRule type="cellIs" dxfId="790" priority="33" stopIfTrue="1" operator="equal">
      <formula>"X"</formula>
    </cfRule>
  </conditionalFormatting>
  <conditionalFormatting sqref="L42">
    <cfRule type="containsText" dxfId="789" priority="32" operator="containsText" text="There">
      <formula>NOT(ISERROR(SEARCH("There",L42)))</formula>
    </cfRule>
  </conditionalFormatting>
  <conditionalFormatting sqref="K42">
    <cfRule type="containsText" dxfId="788" priority="31" operator="containsText" text="X">
      <formula>NOT(ISERROR(SEARCH("X",K42)))</formula>
    </cfRule>
  </conditionalFormatting>
  <conditionalFormatting sqref="L43">
    <cfRule type="containsText" dxfId="787" priority="30" stopIfTrue="1" operator="containsText" text="You cannot">
      <formula>NOT(ISERROR(SEARCH("You cannot",L43)))</formula>
    </cfRule>
  </conditionalFormatting>
  <conditionalFormatting sqref="L43">
    <cfRule type="containsText" dxfId="786" priority="28" stopIfTrue="1" operator="containsText" text="You have">
      <formula>NOT(ISERROR(SEARCH("You have",L43)))</formula>
    </cfRule>
    <cfRule type="containsText" dxfId="785" priority="29" stopIfTrue="1" operator="containsText" text="You cannot">
      <formula>NOT(ISERROR(SEARCH("You cannot",L43)))</formula>
    </cfRule>
  </conditionalFormatting>
  <conditionalFormatting sqref="K43">
    <cfRule type="cellIs" dxfId="784" priority="27" stopIfTrue="1" operator="equal">
      <formula>"X"</formula>
    </cfRule>
  </conditionalFormatting>
  <conditionalFormatting sqref="L43">
    <cfRule type="containsText" dxfId="783" priority="26" operator="containsText" text="There">
      <formula>NOT(ISERROR(SEARCH("There",L43)))</formula>
    </cfRule>
  </conditionalFormatting>
  <conditionalFormatting sqref="K43">
    <cfRule type="containsText" dxfId="782" priority="25" operator="containsText" text="X">
      <formula>NOT(ISERROR(SEARCH("X",K43)))</formula>
    </cfRule>
  </conditionalFormatting>
  <conditionalFormatting sqref="L53">
    <cfRule type="containsText" dxfId="781" priority="24" stopIfTrue="1" operator="containsText" text="You cannot">
      <formula>NOT(ISERROR(SEARCH("You cannot",L53)))</formula>
    </cfRule>
  </conditionalFormatting>
  <conditionalFormatting sqref="L53">
    <cfRule type="containsText" dxfId="780" priority="22" stopIfTrue="1" operator="containsText" text="You have">
      <formula>NOT(ISERROR(SEARCH("You have",L53)))</formula>
    </cfRule>
    <cfRule type="containsText" dxfId="779" priority="23" stopIfTrue="1" operator="containsText" text="You cannot">
      <formula>NOT(ISERROR(SEARCH("You cannot",L53)))</formula>
    </cfRule>
  </conditionalFormatting>
  <conditionalFormatting sqref="K53">
    <cfRule type="cellIs" dxfId="778" priority="21" stopIfTrue="1" operator="equal">
      <formula>"X"</formula>
    </cfRule>
  </conditionalFormatting>
  <conditionalFormatting sqref="L53">
    <cfRule type="containsText" dxfId="777" priority="20" operator="containsText" text="There">
      <formula>NOT(ISERROR(SEARCH("There",L53)))</formula>
    </cfRule>
  </conditionalFormatting>
  <conditionalFormatting sqref="K53">
    <cfRule type="containsText" dxfId="776" priority="19" operator="containsText" text="X">
      <formula>NOT(ISERROR(SEARCH("X",K53)))</formula>
    </cfRule>
  </conditionalFormatting>
  <conditionalFormatting sqref="L51">
    <cfRule type="containsText" dxfId="775" priority="18" stopIfTrue="1" operator="containsText" text="You cannot">
      <formula>NOT(ISERROR(SEARCH("You cannot",L51)))</formula>
    </cfRule>
  </conditionalFormatting>
  <conditionalFormatting sqref="L51">
    <cfRule type="containsText" dxfId="774" priority="16" stopIfTrue="1" operator="containsText" text="You have">
      <formula>NOT(ISERROR(SEARCH("You have",L51)))</formula>
    </cfRule>
    <cfRule type="containsText" dxfId="773" priority="17" stopIfTrue="1" operator="containsText" text="You cannot">
      <formula>NOT(ISERROR(SEARCH("You cannot",L51)))</formula>
    </cfRule>
  </conditionalFormatting>
  <conditionalFormatting sqref="K51">
    <cfRule type="cellIs" dxfId="772" priority="15" stopIfTrue="1" operator="equal">
      <formula>"X"</formula>
    </cfRule>
  </conditionalFormatting>
  <conditionalFormatting sqref="L51">
    <cfRule type="containsText" dxfId="771" priority="14" operator="containsText" text="There">
      <formula>NOT(ISERROR(SEARCH("There",L51)))</formula>
    </cfRule>
  </conditionalFormatting>
  <conditionalFormatting sqref="K51">
    <cfRule type="containsText" dxfId="770" priority="13" operator="containsText" text="X">
      <formula>NOT(ISERROR(SEARCH("X",K51)))</formula>
    </cfRule>
  </conditionalFormatting>
  <conditionalFormatting sqref="L52">
    <cfRule type="containsText" dxfId="769" priority="12" stopIfTrue="1" operator="containsText" text="You cannot">
      <formula>NOT(ISERROR(SEARCH("You cannot",L52)))</formula>
    </cfRule>
  </conditionalFormatting>
  <conditionalFormatting sqref="L52">
    <cfRule type="containsText" dxfId="768" priority="10" stopIfTrue="1" operator="containsText" text="You have">
      <formula>NOT(ISERROR(SEARCH("You have",L52)))</formula>
    </cfRule>
    <cfRule type="containsText" dxfId="767" priority="11" stopIfTrue="1" operator="containsText" text="You cannot">
      <formula>NOT(ISERROR(SEARCH("You cannot",L52)))</formula>
    </cfRule>
  </conditionalFormatting>
  <conditionalFormatting sqref="K52">
    <cfRule type="cellIs" dxfId="766" priority="9" stopIfTrue="1" operator="equal">
      <formula>"X"</formula>
    </cfRule>
  </conditionalFormatting>
  <conditionalFormatting sqref="L52">
    <cfRule type="containsText" dxfId="765" priority="8" operator="containsText" text="There">
      <formula>NOT(ISERROR(SEARCH("There",L52)))</formula>
    </cfRule>
  </conditionalFormatting>
  <conditionalFormatting sqref="K52">
    <cfRule type="containsText" dxfId="764" priority="7" operator="containsText" text="X">
      <formula>NOT(ISERROR(SEARCH("X",K52)))</formula>
    </cfRule>
  </conditionalFormatting>
  <conditionalFormatting sqref="L50">
    <cfRule type="containsText" dxfId="763" priority="6" stopIfTrue="1" operator="containsText" text="You cannot">
      <formula>NOT(ISERROR(SEARCH("You cannot",L50)))</formula>
    </cfRule>
  </conditionalFormatting>
  <conditionalFormatting sqref="L50">
    <cfRule type="containsText" dxfId="762" priority="4" stopIfTrue="1" operator="containsText" text="You have">
      <formula>NOT(ISERROR(SEARCH("You have",L50)))</formula>
    </cfRule>
    <cfRule type="containsText" dxfId="761" priority="5" stopIfTrue="1" operator="containsText" text="You cannot">
      <formula>NOT(ISERROR(SEARCH("You cannot",L50)))</formula>
    </cfRule>
  </conditionalFormatting>
  <conditionalFormatting sqref="K50">
    <cfRule type="cellIs" dxfId="760" priority="3" stopIfTrue="1" operator="equal">
      <formula>"X"</formula>
    </cfRule>
  </conditionalFormatting>
  <conditionalFormatting sqref="L50">
    <cfRule type="containsText" dxfId="759" priority="2" operator="containsText" text="There">
      <formula>NOT(ISERROR(SEARCH("There",L50)))</formula>
    </cfRule>
  </conditionalFormatting>
  <conditionalFormatting sqref="K50">
    <cfRule type="containsText" dxfId="758" priority="1" operator="containsText" text="X">
      <formula>NOT(ISERROR(SEARCH("X",K50)))</formula>
    </cfRule>
  </conditionalFormatting>
  <hyperlinks>
    <hyperlink ref="G5" r:id="rId1" xr:uid="{00000000-0004-0000-0C00-000000000000}"/>
  </hyperlinks>
  <printOptions horizontalCentered="1" verticalCentered="1"/>
  <pageMargins left="0.25" right="0.25" top="0.25" bottom="0.25" header="0" footer="0"/>
  <pageSetup scale="60" orientation="landscape" r:id="rId2"/>
  <headerFooter alignWithMargins="0"/>
  <extLst>
    <ext xmlns:x14="http://schemas.microsoft.com/office/spreadsheetml/2009/9/main" uri="{CCE6A557-97BC-4b89-ADB6-D9C93CAAB3DF}">
      <x14:dataValidations xmlns:xm="http://schemas.microsoft.com/office/excel/2006/main" count="2">
        <x14:dataValidation type="list" showInputMessage="1" showErrorMessage="1" xr:uid="{00000000-0002-0000-0C00-000000000000}">
          <x14:formula1>
            <xm:f>CAUTAU!$A$95:$A$96</xm:f>
          </x14:formula1>
          <xm:sqref>B5</xm:sqref>
        </x14:dataValidation>
        <x14:dataValidation type="list" allowBlank="1" showInputMessage="1" showErrorMessage="1" xr:uid="{00000000-0002-0000-0C00-000001000000}">
          <x14:formula1>
            <xm:f>'Addl Info'!$A$2:$A$15</xm:f>
          </x14:formula1>
          <xm:sqref>H9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3"/>
    <pageSetUpPr fitToPage="1"/>
  </sheetPr>
  <dimension ref="A1:V53"/>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defaultColWidth="9.109375" defaultRowHeight="13.2"/>
  <cols>
    <col min="1" max="1" width="31.6640625" style="15" customWidth="1"/>
    <col min="2" max="12" width="12.6640625" style="15" customWidth="1"/>
    <col min="13" max="13" width="15.6640625" style="15" customWidth="1"/>
    <col min="14" max="16384" width="9.109375" style="15"/>
  </cols>
  <sheetData>
    <row r="1" spans="1:16" ht="15" customHeight="1">
      <c r="A1" s="601" t="str">
        <f>IF(N1="x","End of Year approaching, please address errors listed below.","")</f>
        <v/>
      </c>
      <c r="B1" s="601"/>
      <c r="C1" s="601"/>
      <c r="K1" s="604" t="s">
        <v>1120</v>
      </c>
      <c r="L1" s="572"/>
      <c r="N1" s="167" t="str">
        <f>IF(AND(G5="x",OR(M43="x",M44="x",M45="x",M46="x",M47="x",M50="x",M51="x",M52="x")),"x","")</f>
        <v/>
      </c>
      <c r="O1" s="17"/>
      <c r="P1" s="17"/>
    </row>
    <row r="2" spans="1:16" ht="15" customHeight="1">
      <c r="A2" s="601" t="str">
        <f>IF(N2="x","Please address the errors listed below.","")</f>
        <v/>
      </c>
      <c r="B2" s="574"/>
      <c r="F2" s="156" t="s">
        <v>1121</v>
      </c>
      <c r="K2" s="603" t="s">
        <v>1122</v>
      </c>
      <c r="L2" s="572"/>
      <c r="N2" s="167" t="str">
        <f>IF(G5="x","",IF(OR(M50="x",M51="x",M43="x"),"x",""))</f>
        <v/>
      </c>
      <c r="O2" s="397"/>
    </row>
    <row r="3" spans="1:16" ht="15" customHeight="1">
      <c r="A3" s="17" t="s">
        <v>1123</v>
      </c>
      <c r="E3" s="608" t="str">
        <f>CAUTAU!A99</f>
        <v>Menominee Tribe</v>
      </c>
      <c r="F3" s="608"/>
      <c r="G3" s="167" t="str">
        <f>LOOKUP(E3,Allocations!A4:A92,Allocations!B4:B92)</f>
        <v>X</v>
      </c>
      <c r="H3" s="62"/>
      <c r="I3" s="62"/>
      <c r="J3" s="62"/>
      <c r="K3" s="603" t="s">
        <v>1124</v>
      </c>
      <c r="L3" s="572"/>
      <c r="M3" s="62"/>
      <c r="N3" s="62"/>
    </row>
    <row r="4" spans="1:16" ht="15" customHeight="1">
      <c r="A4" s="17" t="s">
        <v>1125</v>
      </c>
      <c r="D4" s="608" t="e">
        <f>LOOKUP(E5,Date,'Addl Info'!B21:B33)</f>
        <v>#N/A</v>
      </c>
      <c r="E4" s="609"/>
      <c r="F4" s="609"/>
      <c r="G4" s="62"/>
      <c r="H4" s="62"/>
      <c r="I4" s="62"/>
      <c r="J4" s="62"/>
      <c r="K4" s="62"/>
      <c r="L4" s="62"/>
      <c r="M4" s="62"/>
    </row>
    <row r="5" spans="1:16" ht="15" customHeight="1">
      <c r="A5" s="17" t="s">
        <v>1126</v>
      </c>
      <c r="E5" s="608" t="str">
        <f>CAUTAU!A100</f>
        <v/>
      </c>
      <c r="F5" s="608"/>
      <c r="G5" s="62" t="str">
        <f>IF(OR(E5="October 2019",E5="November 2019",E5="December 2019",E5="Final Submission 2019"),"x","")</f>
        <v/>
      </c>
      <c r="H5" s="169"/>
      <c r="I5" s="62"/>
      <c r="J5" s="62"/>
      <c r="K5" s="62"/>
      <c r="L5" s="62"/>
      <c r="M5" s="62"/>
    </row>
    <row r="6" spans="1:16" ht="15" customHeight="1">
      <c r="A6" s="17" t="s">
        <v>1127</v>
      </c>
      <c r="F6" s="152" t="e">
        <f>IF(D4="Non-Submission Period",0,LOOKUP(E3,CAUTAU,Allocations!D4:D92))</f>
        <v>#N/A</v>
      </c>
    </row>
    <row r="7" spans="1:16" ht="15" customHeight="1">
      <c r="A7" s="606"/>
      <c r="B7" s="607"/>
      <c r="C7" s="607"/>
      <c r="D7" s="607"/>
      <c r="E7" s="607"/>
      <c r="F7" s="607"/>
      <c r="G7" s="607"/>
      <c r="H7" s="607"/>
      <c r="I7" s="607"/>
      <c r="J7" s="607"/>
      <c r="K7" s="607"/>
      <c r="L7" s="607"/>
    </row>
    <row r="8" spans="1:16" s="2" customFormat="1" ht="15" customHeight="1" thickBot="1">
      <c r="A8" s="1"/>
      <c r="B8" s="605" t="s">
        <v>1509</v>
      </c>
      <c r="C8" s="605"/>
      <c r="D8" s="605"/>
      <c r="E8" s="605"/>
      <c r="F8" s="605"/>
      <c r="G8" s="605"/>
      <c r="H8" s="605"/>
      <c r="I8" s="605"/>
      <c r="J8" s="605"/>
      <c r="K8" s="605"/>
      <c r="L8" s="605"/>
    </row>
    <row r="9" spans="1:16" ht="77.099999999999994" customHeight="1">
      <c r="A9" s="187" t="s">
        <v>1128</v>
      </c>
      <c r="B9" s="188" t="s">
        <v>1129</v>
      </c>
      <c r="C9" s="189" t="s">
        <v>1130</v>
      </c>
      <c r="D9" s="188" t="s">
        <v>1131</v>
      </c>
      <c r="E9" s="188" t="s">
        <v>1132</v>
      </c>
      <c r="F9" s="188" t="s">
        <v>1133</v>
      </c>
      <c r="G9" s="188" t="s">
        <v>1134</v>
      </c>
      <c r="H9" s="188" t="s">
        <v>1135</v>
      </c>
      <c r="I9" s="188" t="s">
        <v>321</v>
      </c>
      <c r="J9" s="188" t="s">
        <v>325</v>
      </c>
      <c r="K9" s="188" t="s">
        <v>1136</v>
      </c>
      <c r="L9" s="190" t="s">
        <v>1137</v>
      </c>
      <c r="M9" s="154" t="s">
        <v>331</v>
      </c>
    </row>
    <row r="10" spans="1:16" ht="12.9" customHeight="1">
      <c r="A10" s="181" t="s">
        <v>1138</v>
      </c>
      <c r="B10" s="306"/>
      <c r="C10" s="306"/>
      <c r="D10" s="306"/>
      <c r="E10" s="306"/>
      <c r="F10" s="306"/>
      <c r="G10" s="306"/>
      <c r="H10" s="306"/>
      <c r="I10" s="306"/>
      <c r="J10" s="306"/>
      <c r="K10" s="306"/>
      <c r="L10" s="306"/>
      <c r="M10" s="308">
        <f>C10+D10+E10+F10+G10+H10+J10+L10</f>
        <v>0</v>
      </c>
      <c r="N10" s="225"/>
      <c r="O10" s="147">
        <f>SUM(B10:L10)-(I10+K10)</f>
        <v>0</v>
      </c>
    </row>
    <row r="11" spans="1:16" ht="12.9" customHeight="1">
      <c r="A11" s="181" t="s">
        <v>1139</v>
      </c>
      <c r="B11" s="306"/>
      <c r="C11" s="306"/>
      <c r="D11" s="306"/>
      <c r="E11" s="306"/>
      <c r="F11" s="306"/>
      <c r="G11" s="306"/>
      <c r="H11" s="306"/>
      <c r="I11" s="306"/>
      <c r="J11" s="306"/>
      <c r="K11" s="306"/>
      <c r="L11" s="306"/>
      <c r="M11" s="308">
        <f t="shared" ref="M11:M26" si="0">C11+D11+E11+F11+G11+H11+J11+L11</f>
        <v>0</v>
      </c>
      <c r="N11" s="225"/>
    </row>
    <row r="12" spans="1:16" ht="12.9" customHeight="1">
      <c r="A12" s="181" t="s">
        <v>1140</v>
      </c>
      <c r="B12" s="306"/>
      <c r="C12" s="306"/>
      <c r="D12" s="306"/>
      <c r="E12" s="306"/>
      <c r="F12" s="306"/>
      <c r="G12" s="306"/>
      <c r="H12" s="306"/>
      <c r="I12" s="306"/>
      <c r="J12" s="306"/>
      <c r="K12" s="306"/>
      <c r="L12" s="306"/>
      <c r="M12" s="308">
        <f t="shared" si="0"/>
        <v>0</v>
      </c>
      <c r="N12" s="225"/>
    </row>
    <row r="13" spans="1:16" ht="12.9" customHeight="1">
      <c r="A13" s="181" t="s">
        <v>1141</v>
      </c>
      <c r="B13" s="306"/>
      <c r="C13" s="306"/>
      <c r="D13" s="306"/>
      <c r="E13" s="306"/>
      <c r="F13" s="306"/>
      <c r="G13" s="306"/>
      <c r="H13" s="306"/>
      <c r="I13" s="306"/>
      <c r="J13" s="306"/>
      <c r="K13" s="306"/>
      <c r="L13" s="306"/>
      <c r="M13" s="308">
        <f t="shared" si="0"/>
        <v>0</v>
      </c>
      <c r="N13" s="225"/>
    </row>
    <row r="14" spans="1:16" ht="12.9" customHeight="1">
      <c r="A14" s="181" t="s">
        <v>1142</v>
      </c>
      <c r="B14" s="309"/>
      <c r="C14" s="309"/>
      <c r="D14" s="309"/>
      <c r="E14" s="309"/>
      <c r="F14" s="309"/>
      <c r="G14" s="309"/>
      <c r="H14" s="309"/>
      <c r="I14" s="309"/>
      <c r="J14" s="309"/>
      <c r="K14" s="309"/>
      <c r="L14" s="310"/>
      <c r="M14" s="311"/>
      <c r="N14" s="225"/>
    </row>
    <row r="15" spans="1:16" ht="12.9" customHeight="1">
      <c r="A15" s="181" t="s">
        <v>1143</v>
      </c>
      <c r="B15" s="306"/>
      <c r="C15" s="306"/>
      <c r="D15" s="306"/>
      <c r="E15" s="306"/>
      <c r="F15" s="306"/>
      <c r="G15" s="306"/>
      <c r="H15" s="306"/>
      <c r="I15" s="306"/>
      <c r="J15" s="306"/>
      <c r="K15" s="306"/>
      <c r="L15" s="306"/>
      <c r="M15" s="308">
        <f t="shared" si="0"/>
        <v>0</v>
      </c>
      <c r="N15" s="225"/>
    </row>
    <row r="16" spans="1:16" ht="12.9" customHeight="1">
      <c r="A16" s="181" t="s">
        <v>1144</v>
      </c>
      <c r="B16" s="306"/>
      <c r="C16" s="306"/>
      <c r="D16" s="306"/>
      <c r="E16" s="306"/>
      <c r="F16" s="306"/>
      <c r="G16" s="306"/>
      <c r="H16" s="306"/>
      <c r="I16" s="306"/>
      <c r="J16" s="306"/>
      <c r="K16" s="306"/>
      <c r="L16" s="306"/>
      <c r="M16" s="308">
        <f t="shared" si="0"/>
        <v>0</v>
      </c>
      <c r="N16" s="225"/>
    </row>
    <row r="17" spans="1:14" ht="12.9" customHeight="1">
      <c r="A17" s="181" t="s">
        <v>1145</v>
      </c>
      <c r="B17" s="309"/>
      <c r="C17" s="309"/>
      <c r="D17" s="309"/>
      <c r="E17" s="309"/>
      <c r="F17" s="309"/>
      <c r="G17" s="309"/>
      <c r="H17" s="309"/>
      <c r="I17" s="309"/>
      <c r="J17" s="309"/>
      <c r="K17" s="309"/>
      <c r="L17" s="310"/>
      <c r="M17" s="311"/>
      <c r="N17" s="225"/>
    </row>
    <row r="18" spans="1:14" ht="12.9" customHeight="1">
      <c r="A18" s="181" t="s">
        <v>1146</v>
      </c>
      <c r="B18" s="306"/>
      <c r="C18" s="306"/>
      <c r="D18" s="306"/>
      <c r="E18" s="306"/>
      <c r="F18" s="306"/>
      <c r="G18" s="306"/>
      <c r="H18" s="306"/>
      <c r="I18" s="306"/>
      <c r="J18" s="306"/>
      <c r="K18" s="306"/>
      <c r="L18" s="306"/>
      <c r="M18" s="308">
        <f t="shared" si="0"/>
        <v>0</v>
      </c>
      <c r="N18" s="225"/>
    </row>
    <row r="19" spans="1:14" ht="12.9" customHeight="1">
      <c r="A19" s="181" t="s">
        <v>1147</v>
      </c>
      <c r="B19" s="306"/>
      <c r="C19" s="306"/>
      <c r="D19" s="306"/>
      <c r="E19" s="306"/>
      <c r="F19" s="306"/>
      <c r="G19" s="306"/>
      <c r="H19" s="306"/>
      <c r="I19" s="306"/>
      <c r="J19" s="306"/>
      <c r="K19" s="306"/>
      <c r="L19" s="306"/>
      <c r="M19" s="308">
        <f t="shared" si="0"/>
        <v>0</v>
      </c>
      <c r="N19" s="225"/>
    </row>
    <row r="20" spans="1:14" ht="12.9" customHeight="1">
      <c r="A20" s="181" t="s">
        <v>1148</v>
      </c>
      <c r="B20" s="306"/>
      <c r="C20" s="306"/>
      <c r="D20" s="306"/>
      <c r="E20" s="306"/>
      <c r="F20" s="306"/>
      <c r="G20" s="306"/>
      <c r="H20" s="306"/>
      <c r="I20" s="306"/>
      <c r="J20" s="306"/>
      <c r="K20" s="306"/>
      <c r="L20" s="306"/>
      <c r="M20" s="308">
        <f t="shared" si="0"/>
        <v>0</v>
      </c>
      <c r="N20" s="225"/>
    </row>
    <row r="21" spans="1:14" ht="12.9" customHeight="1">
      <c r="A21" s="181" t="s">
        <v>1149</v>
      </c>
      <c r="B21" s="306"/>
      <c r="C21" s="306"/>
      <c r="D21" s="306"/>
      <c r="E21" s="306"/>
      <c r="F21" s="306"/>
      <c r="G21" s="306"/>
      <c r="H21" s="306"/>
      <c r="I21" s="306"/>
      <c r="J21" s="306"/>
      <c r="K21" s="306"/>
      <c r="L21" s="306"/>
      <c r="M21" s="308">
        <f t="shared" si="0"/>
        <v>0</v>
      </c>
      <c r="N21" s="225"/>
    </row>
    <row r="22" spans="1:14" ht="12.9" customHeight="1">
      <c r="A22" s="181" t="s">
        <v>1150</v>
      </c>
      <c r="B22" s="306"/>
      <c r="C22" s="306"/>
      <c r="D22" s="306"/>
      <c r="E22" s="306"/>
      <c r="F22" s="306"/>
      <c r="G22" s="306"/>
      <c r="H22" s="306"/>
      <c r="I22" s="306"/>
      <c r="J22" s="306"/>
      <c r="K22" s="306"/>
      <c r="L22" s="306"/>
      <c r="M22" s="308">
        <f t="shared" si="0"/>
        <v>0</v>
      </c>
      <c r="N22" s="225"/>
    </row>
    <row r="23" spans="1:14" ht="12.9" customHeight="1">
      <c r="A23" s="181" t="s">
        <v>1151</v>
      </c>
      <c r="B23" s="306"/>
      <c r="C23" s="306"/>
      <c r="D23" s="306"/>
      <c r="E23" s="306"/>
      <c r="F23" s="306"/>
      <c r="G23" s="306"/>
      <c r="H23" s="306"/>
      <c r="I23" s="306"/>
      <c r="J23" s="306"/>
      <c r="K23" s="306"/>
      <c r="L23" s="306"/>
      <c r="M23" s="308">
        <f t="shared" si="0"/>
        <v>0</v>
      </c>
      <c r="N23" s="225"/>
    </row>
    <row r="24" spans="1:14" ht="12.9" customHeight="1">
      <c r="A24" s="181" t="s">
        <v>1152</v>
      </c>
      <c r="B24" s="306"/>
      <c r="C24" s="306"/>
      <c r="D24" s="306"/>
      <c r="E24" s="306"/>
      <c r="F24" s="306"/>
      <c r="G24" s="306"/>
      <c r="H24" s="306"/>
      <c r="I24" s="306"/>
      <c r="J24" s="306"/>
      <c r="K24" s="306"/>
      <c r="L24" s="306"/>
      <c r="M24" s="308">
        <f t="shared" si="0"/>
        <v>0</v>
      </c>
      <c r="N24" s="225"/>
    </row>
    <row r="25" spans="1:14" ht="12.9" customHeight="1">
      <c r="A25" s="198" t="s">
        <v>1153</v>
      </c>
      <c r="B25" s="312">
        <f>'III-B Other Services'!B35</f>
        <v>0</v>
      </c>
      <c r="C25" s="312">
        <f>'III-B Other Services'!C35</f>
        <v>0</v>
      </c>
      <c r="D25" s="312">
        <f>'III-B Other Services'!D35</f>
        <v>0</v>
      </c>
      <c r="E25" s="312">
        <f>'III-B Other Services'!E35</f>
        <v>0</v>
      </c>
      <c r="F25" s="312">
        <f>'III-B Other Services'!F35</f>
        <v>0</v>
      </c>
      <c r="G25" s="312">
        <f>'III-B Other Services'!G35</f>
        <v>0</v>
      </c>
      <c r="H25" s="312">
        <f>'III-B Other Services'!H35</f>
        <v>0</v>
      </c>
      <c r="I25" s="312">
        <f>'III-B Other Services'!I35</f>
        <v>0</v>
      </c>
      <c r="J25" s="312">
        <f>'III-B Other Services'!J35</f>
        <v>0</v>
      </c>
      <c r="K25" s="312">
        <f>'III-B Other Services'!K35</f>
        <v>0</v>
      </c>
      <c r="L25" s="313">
        <f>'III-B Other Services'!L35</f>
        <v>0</v>
      </c>
      <c r="M25" s="308">
        <f t="shared" si="0"/>
        <v>0</v>
      </c>
      <c r="N25" s="225"/>
    </row>
    <row r="26" spans="1:14" ht="12.9" customHeight="1">
      <c r="A26" s="199" t="s">
        <v>1154</v>
      </c>
      <c r="B26" s="312">
        <f>'III-B Other Services'!B17</f>
        <v>0</v>
      </c>
      <c r="C26" s="312">
        <f>'III-B Other Services'!C17</f>
        <v>0</v>
      </c>
      <c r="D26" s="312">
        <f>'III-B Other Services'!D17</f>
        <v>0</v>
      </c>
      <c r="E26" s="312">
        <f>'III-B Other Services'!E17</f>
        <v>0</v>
      </c>
      <c r="F26" s="312">
        <f>'III-B Other Services'!F17</f>
        <v>0</v>
      </c>
      <c r="G26" s="312">
        <f>'III-B Other Services'!G17</f>
        <v>0</v>
      </c>
      <c r="H26" s="312">
        <f>'III-B Other Services'!H17</f>
        <v>0</v>
      </c>
      <c r="I26" s="312">
        <f>'III-B Other Services'!I17</f>
        <v>0</v>
      </c>
      <c r="J26" s="312">
        <f>'III-B Other Services'!J17</f>
        <v>0</v>
      </c>
      <c r="K26" s="312">
        <f>'III-B Other Services'!K17</f>
        <v>0</v>
      </c>
      <c r="L26" s="313">
        <f>'III-B Other Services'!L17</f>
        <v>0</v>
      </c>
      <c r="M26" s="308">
        <f t="shared" si="0"/>
        <v>0</v>
      </c>
      <c r="N26" s="225"/>
    </row>
    <row r="27" spans="1:14" ht="12.9" customHeight="1">
      <c r="A27" s="200" t="s">
        <v>1155</v>
      </c>
      <c r="B27" s="309"/>
      <c r="C27" s="309"/>
      <c r="D27" s="309"/>
      <c r="E27" s="309"/>
      <c r="F27" s="309"/>
      <c r="G27" s="309"/>
      <c r="H27" s="309"/>
      <c r="I27" s="309"/>
      <c r="J27" s="309"/>
      <c r="K27" s="309"/>
      <c r="L27" s="310"/>
      <c r="M27" s="311"/>
      <c r="N27" s="225"/>
    </row>
    <row r="28" spans="1:14" ht="12.9" customHeight="1">
      <c r="A28" s="200" t="s">
        <v>1156</v>
      </c>
      <c r="B28" s="309"/>
      <c r="C28" s="309"/>
      <c r="D28" s="309"/>
      <c r="E28" s="309"/>
      <c r="F28" s="309"/>
      <c r="G28" s="309"/>
      <c r="H28" s="309"/>
      <c r="I28" s="309"/>
      <c r="J28" s="309"/>
      <c r="K28" s="309"/>
      <c r="L28" s="310"/>
      <c r="M28" s="311"/>
      <c r="N28" s="225"/>
    </row>
    <row r="29" spans="1:14" ht="12.9" customHeight="1">
      <c r="A29" s="181"/>
      <c r="B29" s="309"/>
      <c r="C29" s="309"/>
      <c r="D29" s="309"/>
      <c r="E29" s="309"/>
      <c r="F29" s="309"/>
      <c r="G29" s="309"/>
      <c r="H29" s="309"/>
      <c r="I29" s="309"/>
      <c r="J29" s="309"/>
      <c r="K29" s="309"/>
      <c r="L29" s="310"/>
      <c r="M29" s="311"/>
      <c r="N29" s="225"/>
    </row>
    <row r="30" spans="1:14" ht="12.9" customHeight="1">
      <c r="A30" s="181"/>
      <c r="B30" s="309"/>
      <c r="C30" s="309"/>
      <c r="D30" s="309"/>
      <c r="E30" s="309"/>
      <c r="F30" s="309"/>
      <c r="G30" s="309"/>
      <c r="H30" s="309"/>
      <c r="I30" s="309"/>
      <c r="J30" s="309"/>
      <c r="K30" s="309"/>
      <c r="L30" s="310"/>
      <c r="M30" s="311"/>
      <c r="N30" s="225"/>
    </row>
    <row r="31" spans="1:14" ht="12.9" customHeight="1">
      <c r="A31" s="181"/>
      <c r="B31" s="309"/>
      <c r="C31" s="309"/>
      <c r="D31" s="309"/>
      <c r="E31" s="309"/>
      <c r="F31" s="309"/>
      <c r="G31" s="309"/>
      <c r="H31" s="309"/>
      <c r="I31" s="309"/>
      <c r="J31" s="309"/>
      <c r="K31" s="309"/>
      <c r="L31" s="310"/>
      <c r="M31" s="311"/>
      <c r="N31" s="225"/>
    </row>
    <row r="32" spans="1:14" ht="12.9" customHeight="1">
      <c r="A32" s="181"/>
      <c r="B32" s="309"/>
      <c r="C32" s="309"/>
      <c r="D32" s="309"/>
      <c r="E32" s="309"/>
      <c r="F32" s="309"/>
      <c r="G32" s="309"/>
      <c r="H32" s="309"/>
      <c r="I32" s="309"/>
      <c r="J32" s="309"/>
      <c r="K32" s="309"/>
      <c r="L32" s="310"/>
      <c r="M32" s="311"/>
      <c r="N32" s="225"/>
    </row>
    <row r="33" spans="1:22" ht="12.9" customHeight="1">
      <c r="A33" s="181"/>
      <c r="B33" s="309"/>
      <c r="C33" s="309"/>
      <c r="D33" s="309"/>
      <c r="E33" s="309"/>
      <c r="F33" s="309"/>
      <c r="G33" s="309"/>
      <c r="H33" s="309"/>
      <c r="I33" s="309"/>
      <c r="J33" s="309"/>
      <c r="K33" s="309"/>
      <c r="L33" s="310"/>
      <c r="M33" s="311"/>
      <c r="N33" s="225"/>
    </row>
    <row r="34" spans="1:22" ht="12.9" customHeight="1" thickBot="1">
      <c r="A34" s="192"/>
      <c r="B34" s="314"/>
      <c r="C34" s="314"/>
      <c r="D34" s="314"/>
      <c r="E34" s="314"/>
      <c r="F34" s="314"/>
      <c r="G34" s="314"/>
      <c r="H34" s="314"/>
      <c r="I34" s="314"/>
      <c r="J34" s="314"/>
      <c r="K34" s="314"/>
      <c r="L34" s="314"/>
      <c r="M34" s="315"/>
      <c r="N34" s="225"/>
    </row>
    <row r="35" spans="1:22" ht="12.9" customHeight="1" thickTop="1" thickBot="1">
      <c r="A35" s="193" t="s">
        <v>210</v>
      </c>
      <c r="B35" s="316">
        <f>SUM(B10:B26)</f>
        <v>0</v>
      </c>
      <c r="C35" s="316">
        <f t="shared" ref="C35:L35" si="1">SUM(C10:C26)</f>
        <v>0</v>
      </c>
      <c r="D35" s="316">
        <f t="shared" si="1"/>
        <v>0</v>
      </c>
      <c r="E35" s="316">
        <f t="shared" si="1"/>
        <v>0</v>
      </c>
      <c r="F35" s="316">
        <f t="shared" si="1"/>
        <v>0</v>
      </c>
      <c r="G35" s="316">
        <f t="shared" si="1"/>
        <v>0</v>
      </c>
      <c r="H35" s="316">
        <f t="shared" si="1"/>
        <v>0</v>
      </c>
      <c r="I35" s="316">
        <f t="shared" si="1"/>
        <v>0</v>
      </c>
      <c r="J35" s="316">
        <f t="shared" si="1"/>
        <v>0</v>
      </c>
      <c r="K35" s="316">
        <f t="shared" si="1"/>
        <v>0</v>
      </c>
      <c r="L35" s="316">
        <f t="shared" si="1"/>
        <v>0</v>
      </c>
      <c r="M35" s="522">
        <f t="shared" ref="M35" si="2">C35+D35+E35+F35+G35+H35+J35+L35</f>
        <v>0</v>
      </c>
      <c r="N35" s="225"/>
    </row>
    <row r="36" spans="1:22" ht="12.9" customHeight="1">
      <c r="A36" s="17"/>
      <c r="B36" s="519"/>
      <c r="C36" s="171"/>
      <c r="D36" s="171"/>
      <c r="E36" s="171"/>
      <c r="F36" s="171"/>
      <c r="G36" s="171"/>
      <c r="H36" s="171"/>
      <c r="I36" s="171"/>
      <c r="J36" s="171"/>
      <c r="K36" s="171"/>
      <c r="L36" s="171"/>
      <c r="M36" s="520"/>
      <c r="N36" s="226"/>
    </row>
    <row r="37" spans="1:22" ht="12.9" customHeight="1" thickBot="1">
      <c r="B37" s="225"/>
      <c r="C37" s="225"/>
      <c r="D37" s="225"/>
      <c r="E37" s="225"/>
      <c r="F37" s="225"/>
      <c r="G37" s="225"/>
      <c r="H37" s="225"/>
      <c r="I37" s="225"/>
      <c r="J37" s="225"/>
      <c r="K37" s="225"/>
      <c r="L37" s="225"/>
      <c r="N37" s="226"/>
    </row>
    <row r="38" spans="1:22" ht="12.9" customHeight="1">
      <c r="B38" s="172" t="s">
        <v>1157</v>
      </c>
      <c r="C38" s="173"/>
      <c r="D38" s="173"/>
      <c r="E38" s="173"/>
      <c r="F38" s="173"/>
      <c r="G38" s="173"/>
      <c r="H38" s="173"/>
      <c r="I38" s="161"/>
    </row>
    <row r="39" spans="1:22" ht="12.9" customHeight="1" thickBot="1">
      <c r="B39" s="174" t="s">
        <v>1158</v>
      </c>
      <c r="C39" s="175"/>
      <c r="D39" s="175"/>
      <c r="E39" s="175"/>
      <c r="F39" s="175"/>
      <c r="G39" s="175"/>
      <c r="H39" s="176"/>
      <c r="I39" s="162"/>
    </row>
    <row r="40" spans="1:22" ht="12.9" customHeight="1">
      <c r="B40" s="141"/>
      <c r="C40" s="144" t="s">
        <v>1159</v>
      </c>
      <c r="D40" s="144"/>
      <c r="E40" s="160"/>
      <c r="F40" s="163"/>
      <c r="G40" s="164" t="s">
        <v>1160</v>
      </c>
      <c r="H40" s="165"/>
      <c r="I40" s="160"/>
      <c r="M40" s="62"/>
    </row>
    <row r="41" spans="1:22" ht="12.9" customHeight="1">
      <c r="M41" s="62"/>
    </row>
    <row r="42" spans="1:22" ht="12.9" customHeight="1">
      <c r="M42" s="62"/>
    </row>
    <row r="43" spans="1:22" ht="12.9" customHeight="1">
      <c r="A43" s="15" t="s">
        <v>1161</v>
      </c>
      <c r="B43" s="147" t="e">
        <f>(F6-C35)</f>
        <v>#N/A</v>
      </c>
      <c r="C43" s="610" t="e">
        <f>IF(F6-C35&lt;0,"Not Ok - You are over budget on expenditures.","")</f>
        <v>#N/A</v>
      </c>
      <c r="D43" s="611"/>
      <c r="E43" s="611"/>
      <c r="F43" s="574"/>
      <c r="M43" s="368" t="str">
        <f>IF(ISNUMBER(SEARCH("Not Ok",C43)), "X", "")</f>
        <v/>
      </c>
      <c r="N43" s="166"/>
      <c r="O43" s="166"/>
    </row>
    <row r="44" spans="1:22" ht="12.9" customHeight="1">
      <c r="A44" s="15" t="s">
        <v>1162</v>
      </c>
      <c r="B44" s="159">
        <f>IF(SUM(C19+C20+C24+C23+C16)&gt;0,(C19+C20+C24+C23+C16)/C35, 0)</f>
        <v>0</v>
      </c>
      <c r="C44" s="601" t="str">
        <f>IF(G5&lt;&gt;"x","",IF(AND(B40="x",B44&lt;6%),"Ok - You provide under 6% of your allocation to Access to Services but are requesting an exemption.",IF(AND(B40="x",B44&gt;=6%),"Not Ok - You have claimed at least 6%, do not also mark the exemption box.",IF(B40="x","Ok - Your Access to Services are provided by other sources.",IF(B44&gt;=6%,"Ok - You provide at least 6% of your allocation to Access to Services.","Not Ok - Lines 7, 10, 11, 14 or 15 need to total at least 6% of your allocation.")))))</f>
        <v/>
      </c>
      <c r="D44" s="601"/>
      <c r="E44" s="601"/>
      <c r="F44" s="601"/>
      <c r="G44" s="601"/>
      <c r="H44" s="601"/>
      <c r="I44" s="601"/>
      <c r="J44" s="601"/>
      <c r="K44" s="601"/>
      <c r="L44" s="601"/>
      <c r="M44" s="368" t="str">
        <f t="shared" ref="M44:M53" si="3">IF(ISNUMBER(SEARCH("Not Ok",C44)), "X", "")</f>
        <v/>
      </c>
      <c r="N44" s="17"/>
      <c r="O44" s="17"/>
      <c r="P44" s="17"/>
      <c r="Q44" s="17"/>
      <c r="R44" s="17"/>
      <c r="S44" s="17"/>
      <c r="T44" s="17"/>
      <c r="U44" s="17"/>
      <c r="V44" s="17"/>
    </row>
    <row r="45" spans="1:22" ht="12.9" customHeight="1">
      <c r="A45" s="15" t="s">
        <v>1163</v>
      </c>
      <c r="B45" s="159">
        <f>IF(C21&gt;0,C21/C35, 0)</f>
        <v>0</v>
      </c>
      <c r="C45" s="601" t="str">
        <f>IF(G3="X","You have received a waiver for this requirement.",IF(G5&lt;&gt;"x","",IF(B45&gt;=5%,"Ok - You provide at least 5% of your allocation to Legal/Benefit Assistance Services.","Not Ok - You need to provide at least 5% of your allocation to Line 12.")))</f>
        <v>You have received a waiver for this requirement.</v>
      </c>
      <c r="D45" s="602"/>
      <c r="E45" s="602"/>
      <c r="F45" s="602"/>
      <c r="G45" s="602"/>
      <c r="H45" s="602"/>
      <c r="I45" s="602"/>
      <c r="M45" s="368" t="str">
        <f t="shared" si="3"/>
        <v/>
      </c>
    </row>
    <row r="46" spans="1:22" ht="12.9" customHeight="1">
      <c r="A46" s="15" t="s">
        <v>1164</v>
      </c>
      <c r="B46" s="159">
        <f>IF((C11+C12+C13)&gt;0,(C11+C12+C13)/C35, 0)</f>
        <v>0</v>
      </c>
      <c r="C46" s="601" t="str">
        <f>IF(G5&lt;&gt;"x","",IF(AND(F40="x",B46&lt;7%),"Ok - You provide under 7% of your allocation to In-Home Services, but have requested an exemption.",IF(AND(F40="x",B46&gt;=7%),"Not Ok - You have claimed at least 7%, do not also mark the exemption box.",IF(F40="x","Ok - Your In-Home Services are provided by other sources.",IF(B46&gt;=7%,"Ok - You provide at least 7% of your allocation to In-Home Services.","Not Ok - Lines 2, 3 or 4 need to total at least 7% of your allocation.")))))</f>
        <v/>
      </c>
      <c r="D46" s="601"/>
      <c r="E46" s="601"/>
      <c r="F46" s="601"/>
      <c r="G46" s="601"/>
      <c r="H46" s="601"/>
      <c r="I46" s="601"/>
      <c r="J46" s="601"/>
      <c r="K46" s="601"/>
      <c r="L46" s="601"/>
      <c r="M46" s="368" t="str">
        <f t="shared" si="3"/>
        <v/>
      </c>
      <c r="N46" s="17"/>
      <c r="O46" s="17"/>
      <c r="P46" s="17"/>
      <c r="Q46" s="17"/>
      <c r="R46" s="17"/>
      <c r="S46" s="17"/>
      <c r="T46" s="17"/>
      <c r="U46" s="17"/>
      <c r="V46" s="17"/>
    </row>
    <row r="47" spans="1:22" ht="12.9" customHeight="1">
      <c r="A47" s="15" t="s">
        <v>1165</v>
      </c>
      <c r="B47" s="147">
        <f>SUM(D35:E35)</f>
        <v>0</v>
      </c>
      <c r="C47" s="601" t="str">
        <f>IF(G5&lt;&gt;"x","",IF(B47&gt;=SUM(C35/9),"Ok - Minimum Match Met","Not Ok - Your Cash Match and/or In-Kind Match does not meet the Mimimum Match requirement."))</f>
        <v/>
      </c>
      <c r="D47" s="602"/>
      <c r="E47" s="602"/>
      <c r="F47" s="602"/>
      <c r="G47" s="602"/>
      <c r="H47" s="602"/>
      <c r="I47" s="602"/>
      <c r="M47" s="368" t="str">
        <f t="shared" si="3"/>
        <v/>
      </c>
    </row>
    <row r="48" spans="1:22" ht="12.9" customHeight="1">
      <c r="A48" s="15" t="s">
        <v>1166</v>
      </c>
      <c r="B48" s="147">
        <f>ROUNDUP((C35/9),0)</f>
        <v>0</v>
      </c>
      <c r="C48" s="15" t="s">
        <v>1167</v>
      </c>
      <c r="M48" s="368" t="str">
        <f t="shared" si="3"/>
        <v/>
      </c>
    </row>
    <row r="49" spans="1:18" ht="12.9" customHeight="1">
      <c r="B49" s="227"/>
      <c r="C49" s="600"/>
      <c r="D49" s="600"/>
      <c r="E49" s="600"/>
      <c r="F49" s="600"/>
      <c r="G49" s="600"/>
      <c r="H49" s="600"/>
      <c r="I49" s="600"/>
      <c r="M49" s="368" t="str">
        <f t="shared" si="3"/>
        <v/>
      </c>
    </row>
    <row r="50" spans="1:18" ht="12.9" customHeight="1">
      <c r="A50" s="15" t="str">
        <f>IF(B50="X","Program Income Carryover","")</f>
        <v/>
      </c>
      <c r="B50" s="227" t="str">
        <f>IF(AND(C35&gt;0,K35&gt;L35),"X","")</f>
        <v/>
      </c>
      <c r="C50" s="600" t="str">
        <f>IF(B50="x","Not Ok - You cannot claim against this contract until all prior year program income has been expended.","")</f>
        <v/>
      </c>
      <c r="D50" s="574"/>
      <c r="E50" s="574"/>
      <c r="F50" s="574"/>
      <c r="G50" s="574"/>
      <c r="H50" s="574"/>
      <c r="I50" s="574"/>
      <c r="J50" s="574"/>
      <c r="K50" s="574"/>
      <c r="M50" s="368" t="str">
        <f t="shared" si="3"/>
        <v/>
      </c>
      <c r="N50" s="146"/>
      <c r="O50" s="146"/>
      <c r="P50" s="146"/>
      <c r="Q50" s="146"/>
      <c r="R50" s="146"/>
    </row>
    <row r="51" spans="1:18" ht="12.9" customHeight="1">
      <c r="A51" s="15" t="e">
        <f>IF(B51="x","Non-Submission Period","")</f>
        <v>#N/A</v>
      </c>
      <c r="B51" s="227" t="e">
        <f>IF(AND(D4="Non-Submission Period",C35&gt;0),"X","")</f>
        <v>#N/A</v>
      </c>
      <c r="C51" s="600" t="e">
        <f>IF(B51="x","Not Ok - You cannot claim against this contract as this is a Non-Submission Period for the contract.","")</f>
        <v>#N/A</v>
      </c>
      <c r="D51" s="574"/>
      <c r="E51" s="574"/>
      <c r="F51" s="574"/>
      <c r="G51" s="574"/>
      <c r="H51" s="574"/>
      <c r="I51" s="574"/>
      <c r="M51" s="368" t="str">
        <f t="shared" si="3"/>
        <v/>
      </c>
    </row>
    <row r="52" spans="1:18" ht="18">
      <c r="A52" s="15" t="str">
        <f>IF(B52="X","Current Year Program Income","")</f>
        <v/>
      </c>
      <c r="B52" s="227" t="str">
        <f>IF(G5&lt;&gt;"x","",IF(J35&gt;I35,"X",""))</f>
        <v/>
      </c>
      <c r="C52" s="600" t="str">
        <f>IF(B52="x","Not Ok - You cannot claim more in current year program income expended than has been received.","")</f>
        <v/>
      </c>
      <c r="D52" s="574"/>
      <c r="E52" s="574"/>
      <c r="F52" s="574"/>
      <c r="G52" s="574"/>
      <c r="H52" s="574"/>
      <c r="I52" s="574"/>
      <c r="M52" s="368" t="str">
        <f t="shared" si="3"/>
        <v/>
      </c>
      <c r="N52" s="146"/>
    </row>
    <row r="53" spans="1:18" ht="18">
      <c r="M53" s="369" t="str">
        <f t="shared" si="3"/>
        <v/>
      </c>
    </row>
  </sheetData>
  <sheetProtection password="C3C4" sheet="1" objects="1" scenarios="1"/>
  <customSheetViews>
    <customSheetView guid="{89953FCB-456A-4C2D-8912-B30825F750D3}" showGridLines="0" showRowCol="0" fitToPage="1">
      <selection activeCell="L54" sqref="A1:L54"/>
      <pageMargins left="0" right="0" top="0" bottom="0" header="0" footer="0"/>
      <printOptions horizontalCentered="1"/>
      <pageSetup scale="80" orientation="landscape" r:id="rId1"/>
      <headerFooter alignWithMargins="0">
        <oddFooter>&amp;R&amp;"Times New Roman,Regular"&amp;8&amp;Z&amp;F</oddFooter>
      </headerFooter>
    </customSheetView>
  </customSheetViews>
  <mergeCells count="19">
    <mergeCell ref="C52:I52"/>
    <mergeCell ref="K1:L1"/>
    <mergeCell ref="K2:L2"/>
    <mergeCell ref="B8:L8"/>
    <mergeCell ref="C44:L44"/>
    <mergeCell ref="A7:L7"/>
    <mergeCell ref="E3:F3"/>
    <mergeCell ref="E5:F5"/>
    <mergeCell ref="D4:F4"/>
    <mergeCell ref="A1:C1"/>
    <mergeCell ref="A2:B2"/>
    <mergeCell ref="C43:F43"/>
    <mergeCell ref="C47:I47"/>
    <mergeCell ref="C49:I49"/>
    <mergeCell ref="C45:I45"/>
    <mergeCell ref="C46:L46"/>
    <mergeCell ref="K3:L3"/>
    <mergeCell ref="C51:I51"/>
    <mergeCell ref="C50:K50"/>
  </mergeCells>
  <phoneticPr fontId="4" type="noConversion"/>
  <conditionalFormatting sqref="G3">
    <cfRule type="containsText" dxfId="757" priority="79" stopIfTrue="1" operator="containsText" text="Not Ok">
      <formula>NOT(ISERROR(SEARCH("Not Ok",G3)))</formula>
    </cfRule>
    <cfRule type="containsText" dxfId="756" priority="80" stopIfTrue="1" operator="containsText" text="Not Ok">
      <formula>NOT(ISERROR(SEARCH("Not Ok",G3)))</formula>
    </cfRule>
  </conditionalFormatting>
  <conditionalFormatting sqref="G3:J3">
    <cfRule type="containsText" dxfId="755" priority="78" stopIfTrue="1" operator="containsText" text="Not Ok">
      <formula>NOT(ISERROR(SEARCH("Not Ok",G3)))</formula>
    </cfRule>
  </conditionalFormatting>
  <conditionalFormatting sqref="B39">
    <cfRule type="cellIs" dxfId="754" priority="46" stopIfTrue="1" operator="equal">
      <formula>"You cannot claim against this contract until all prior year program income has been expended."</formula>
    </cfRule>
  </conditionalFormatting>
  <conditionalFormatting sqref="C40">
    <cfRule type="cellIs" dxfId="753" priority="47" stopIfTrue="1" operator="equal">
      <formula>"You are over budget on expenditures."</formula>
    </cfRule>
  </conditionalFormatting>
  <conditionalFormatting sqref="C40">
    <cfRule type="cellIs" dxfId="752" priority="45" stopIfTrue="1" operator="equal">
      <formula>"You are over budget on expenditures."</formula>
    </cfRule>
  </conditionalFormatting>
  <conditionalFormatting sqref="C40">
    <cfRule type="cellIs" dxfId="751" priority="44" stopIfTrue="1" operator="equal">
      <formula>"You are over budget on expenditures."</formula>
    </cfRule>
  </conditionalFormatting>
  <conditionalFormatting sqref="C40">
    <cfRule type="cellIs" dxfId="750" priority="43" stopIfTrue="1" operator="equal">
      <formula>"You are over budget on expenditures."</formula>
    </cfRule>
  </conditionalFormatting>
  <conditionalFormatting sqref="C40">
    <cfRule type="cellIs" dxfId="749" priority="42" stopIfTrue="1" operator="equal">
      <formula>"You are over budget on expenditures."</formula>
    </cfRule>
  </conditionalFormatting>
  <conditionalFormatting sqref="C40">
    <cfRule type="cellIs" dxfId="748" priority="41" stopIfTrue="1" operator="equal">
      <formula>"You are over budget on expenditures."</formula>
    </cfRule>
  </conditionalFormatting>
  <conditionalFormatting sqref="C40">
    <cfRule type="cellIs" dxfId="747" priority="40" stopIfTrue="1" operator="equal">
      <formula>"You are over budget on expenditures."</formula>
    </cfRule>
  </conditionalFormatting>
  <conditionalFormatting sqref="C40">
    <cfRule type="cellIs" dxfId="746" priority="39" stopIfTrue="1" operator="equal">
      <formula>"You are over budget on expenditures."</formula>
    </cfRule>
  </conditionalFormatting>
  <conditionalFormatting sqref="C40">
    <cfRule type="cellIs" dxfId="745" priority="38" stopIfTrue="1" operator="equal">
      <formula>"You are over budget on expenditures."</formula>
    </cfRule>
  </conditionalFormatting>
  <conditionalFormatting sqref="B38:B39">
    <cfRule type="cellIs" dxfId="744" priority="37" stopIfTrue="1" operator="equal">
      <formula>"You cannot claim against this contract until all prior year program income has been expended."</formula>
    </cfRule>
  </conditionalFormatting>
  <conditionalFormatting sqref="B50">
    <cfRule type="cellIs" dxfId="743" priority="35" stopIfTrue="1" operator="equal">
      <formula>"You cannot claim against this contract until all prior year program income has been expended."</formula>
    </cfRule>
  </conditionalFormatting>
  <conditionalFormatting sqref="S47 N45:R47">
    <cfRule type="containsText" dxfId="742" priority="26" stopIfTrue="1" operator="containsText" text="Not Ok">
      <formula>NOT(ISERROR(SEARCH("Not Ok",N45)))</formula>
    </cfRule>
  </conditionalFormatting>
  <conditionalFormatting sqref="N43:V47">
    <cfRule type="containsText" dxfId="741" priority="24" operator="containsText" text="Not Ok">
      <formula>NOT(ISERROR(SEARCH("Not Ok",N43)))</formula>
    </cfRule>
  </conditionalFormatting>
  <conditionalFormatting sqref="A1">
    <cfRule type="containsText" dxfId="740" priority="21" operator="containsText" text="End">
      <formula>NOT(ISERROR(SEARCH("End",A1)))</formula>
    </cfRule>
  </conditionalFormatting>
  <conditionalFormatting sqref="A1">
    <cfRule type="containsText" dxfId="739" priority="20" operator="containsText" text="End">
      <formula>NOT(ISERROR(SEARCH("End",A1)))</formula>
    </cfRule>
  </conditionalFormatting>
  <conditionalFormatting sqref="A2:B2">
    <cfRule type="containsText" dxfId="738" priority="19" operator="containsText" text="Please">
      <formula>NOT(ISERROR(SEARCH("Please",A2)))</formula>
    </cfRule>
  </conditionalFormatting>
  <conditionalFormatting sqref="B36:L36">
    <cfRule type="containsText" dxfId="737" priority="17" operator="containsText" text="Error">
      <formula>NOT(ISERROR(SEARCH("Error",B36)))</formula>
    </cfRule>
  </conditionalFormatting>
  <conditionalFormatting sqref="A36">
    <cfRule type="containsText" dxfId="736" priority="16" operator="containsText" text="Enter">
      <formula>NOT(ISERROR(SEARCH("Enter",A36)))</formula>
    </cfRule>
  </conditionalFormatting>
  <conditionalFormatting sqref="M10:M13 M15:M16 M18:M26">
    <cfRule type="containsText" dxfId="735" priority="14" operator="containsText" text="#">
      <formula>NOT(ISERROR(SEARCH("#",M10)))</formula>
    </cfRule>
  </conditionalFormatting>
  <conditionalFormatting sqref="N1">
    <cfRule type="containsText" dxfId="734" priority="11" operator="containsText" text="End">
      <formula>NOT(ISERROR(SEARCH("End",N1)))</formula>
    </cfRule>
  </conditionalFormatting>
  <conditionalFormatting sqref="N1">
    <cfRule type="containsText" dxfId="733" priority="10" operator="containsText" text="End">
      <formula>NOT(ISERROR(SEARCH("End",N1)))</formula>
    </cfRule>
  </conditionalFormatting>
  <conditionalFormatting sqref="N2:O2">
    <cfRule type="containsText" dxfId="732" priority="9" operator="containsText" text="Please">
      <formula>NOT(ISERROR(SEARCH("Please",N2)))</formula>
    </cfRule>
  </conditionalFormatting>
  <conditionalFormatting sqref="B52">
    <cfRule type="cellIs" dxfId="731" priority="8" stopIfTrue="1" operator="equal">
      <formula>"You cannot claim against this contract until all prior year program income has been expended."</formula>
    </cfRule>
  </conditionalFormatting>
  <conditionalFormatting sqref="C43:L49 C51:L52 C50:I50 L50">
    <cfRule type="containsText" dxfId="730" priority="2" operator="containsText" text="Not Ok">
      <formula>NOT(ISERROR(SEARCH("Not Ok",C43)))</formula>
    </cfRule>
  </conditionalFormatting>
  <conditionalFormatting sqref="M35">
    <cfRule type="containsText" dxfId="729" priority="1" operator="containsText" text="#">
      <formula>NOT(ISERROR(SEARCH("#",M35)))</formula>
    </cfRule>
  </conditionalFormatting>
  <dataValidations count="2">
    <dataValidation type="whole" allowBlank="1" showInputMessage="1" showErrorMessage="1" errorTitle="Whole Number Validation" error="You must enter all dollars as whole numbers - no decimals (cents) or spaces." sqref="B25:L26" xr:uid="{885B7B07-F591-417B-8E67-6A3FAC5ACDD6}">
      <formula1>-1000000</formula1>
      <formula2>1000000</formula2>
    </dataValidation>
    <dataValidation type="whole" allowBlank="1" showInputMessage="1" showErrorMessage="1" errorTitle="Whole Number Validation" error="You must enter all dollars as whole numbers - no decimals (cents) or spaces." sqref="B10:L24" xr:uid="{90DB6006-C866-4368-9233-416933161BAE}">
      <formula1>-100000000</formula1>
      <formula2>100000000</formula2>
    </dataValidation>
  </dataValidations>
  <printOptions horizontalCentered="1"/>
  <pageMargins left="0.25" right="0.25" top="0.25" bottom="0.25" header="0" footer="0"/>
  <pageSetup scale="73" orientation="landscape" r:id="rId2"/>
  <headerFooter alignWithMargins="0">
    <oddFooter>&amp;R&amp;"Times New Roman,Regular"&amp;8&amp;Z&amp;F</oddFooter>
  </headerFooter>
  <ignoredErrors>
    <ignoredError sqref="E5 E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3"/>
    <pageSetUpPr fitToPage="1"/>
  </sheetPr>
  <dimension ref="A1:R55"/>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3.2"/>
  <cols>
    <col min="1" max="1" width="31.6640625" customWidth="1"/>
    <col min="2" max="12" width="12.6640625" customWidth="1"/>
    <col min="13" max="13" width="15.6640625" customWidth="1"/>
  </cols>
  <sheetData>
    <row r="1" spans="1:13" s="13" customFormat="1" ht="15" customHeight="1">
      <c r="A1" s="15"/>
      <c r="B1" s="15"/>
      <c r="C1" s="15"/>
      <c r="D1" s="15"/>
      <c r="E1" s="15"/>
      <c r="F1" s="156"/>
      <c r="G1" s="15"/>
      <c r="H1" s="15"/>
      <c r="I1" s="15"/>
      <c r="J1" s="15"/>
      <c r="K1" s="604" t="s">
        <v>1120</v>
      </c>
      <c r="L1" s="572"/>
      <c r="M1" s="397"/>
    </row>
    <row r="2" spans="1:13" s="13" customFormat="1" ht="15" customHeight="1">
      <c r="A2" s="17"/>
      <c r="B2" s="15"/>
      <c r="C2" s="15"/>
      <c r="D2" s="15"/>
      <c r="E2" s="15"/>
      <c r="F2" s="156" t="s">
        <v>1121</v>
      </c>
      <c r="G2" s="15"/>
      <c r="H2" s="15"/>
      <c r="I2" s="15"/>
      <c r="J2" s="15"/>
      <c r="K2" s="603" t="s">
        <v>1122</v>
      </c>
      <c r="L2" s="572"/>
      <c r="M2" s="397"/>
    </row>
    <row r="3" spans="1:13" s="13" customFormat="1" ht="15" customHeight="1">
      <c r="A3" s="17" t="s">
        <v>1123</v>
      </c>
      <c r="B3" s="15"/>
      <c r="C3" s="15"/>
      <c r="D3" s="15"/>
      <c r="E3" s="608" t="str">
        <f>'III-B - #11619'!E3:F3</f>
        <v>Menominee Tribe</v>
      </c>
      <c r="F3" s="608"/>
      <c r="G3" s="15"/>
      <c r="H3" s="15"/>
      <c r="I3" s="15"/>
      <c r="J3" s="15"/>
      <c r="K3" s="603" t="s">
        <v>1124</v>
      </c>
      <c r="L3" s="572"/>
      <c r="M3" s="15"/>
    </row>
    <row r="4" spans="1:13" s="13" customFormat="1" ht="15" customHeight="1">
      <c r="A4" s="17" t="s">
        <v>1125</v>
      </c>
      <c r="B4" s="15"/>
      <c r="C4" s="15"/>
      <c r="D4" s="608" t="e">
        <f>LOOKUP(E5,Date,'Addl Info'!B21:B33)</f>
        <v>#N/A</v>
      </c>
      <c r="E4" s="612"/>
      <c r="F4" s="612"/>
      <c r="G4" s="15"/>
      <c r="H4" s="15"/>
      <c r="I4" s="15"/>
      <c r="J4" s="15"/>
      <c r="K4" s="15"/>
      <c r="L4" s="15"/>
      <c r="M4" s="15"/>
    </row>
    <row r="5" spans="1:13" s="13" customFormat="1" ht="15" customHeight="1">
      <c r="A5" s="17" t="s">
        <v>1126</v>
      </c>
      <c r="B5" s="15"/>
      <c r="C5" s="15"/>
      <c r="D5" s="15"/>
      <c r="E5" s="608" t="str">
        <f>'III-B - #11619'!E5:F5</f>
        <v/>
      </c>
      <c r="F5" s="608"/>
      <c r="G5" s="15"/>
      <c r="H5" s="15"/>
      <c r="I5" s="15"/>
      <c r="J5" s="15"/>
      <c r="K5" s="15"/>
      <c r="L5" s="15"/>
      <c r="M5" s="15"/>
    </row>
    <row r="6" spans="1:13" s="13" customFormat="1" ht="15" customHeight="1">
      <c r="A6" s="17" t="s">
        <v>1127</v>
      </c>
      <c r="B6" s="15"/>
      <c r="C6" s="15"/>
      <c r="D6" s="15"/>
      <c r="E6" s="15"/>
      <c r="F6" s="153" t="s">
        <v>1168</v>
      </c>
      <c r="G6" s="15"/>
      <c r="H6" s="15"/>
      <c r="I6" s="15"/>
      <c r="J6" s="15"/>
      <c r="K6" s="15"/>
      <c r="L6" s="15"/>
      <c r="M6" s="15"/>
    </row>
    <row r="7" spans="1:13" ht="15" customHeight="1">
      <c r="A7" s="606"/>
      <c r="B7" s="607"/>
      <c r="C7" s="607"/>
      <c r="D7" s="607"/>
      <c r="E7" s="607"/>
      <c r="F7" s="607"/>
      <c r="G7" s="607"/>
      <c r="H7" s="607"/>
      <c r="I7" s="607"/>
      <c r="J7" s="607"/>
      <c r="K7" s="607"/>
      <c r="L7" s="607"/>
      <c r="M7" s="397"/>
    </row>
    <row r="8" spans="1:13" s="2" customFormat="1" ht="15" customHeight="1" thickBot="1">
      <c r="A8" s="1"/>
      <c r="B8" s="605" t="s">
        <v>1169</v>
      </c>
      <c r="C8" s="605"/>
      <c r="D8" s="605"/>
      <c r="E8" s="605"/>
      <c r="F8" s="605"/>
      <c r="G8" s="605"/>
      <c r="H8" s="605"/>
      <c r="I8" s="605"/>
      <c r="J8" s="605"/>
      <c r="K8" s="605"/>
      <c r="L8" s="605"/>
    </row>
    <row r="9" spans="1:13" ht="77.099999999999994" customHeight="1">
      <c r="A9" s="178" t="s">
        <v>1128</v>
      </c>
      <c r="B9" s="179" t="s">
        <v>1129</v>
      </c>
      <c r="C9" s="180" t="s">
        <v>1130</v>
      </c>
      <c r="D9" s="179" t="s">
        <v>1131</v>
      </c>
      <c r="E9" s="179" t="s">
        <v>1132</v>
      </c>
      <c r="F9" s="179" t="s">
        <v>1133</v>
      </c>
      <c r="G9" s="179" t="s">
        <v>1134</v>
      </c>
      <c r="H9" s="179" t="s">
        <v>1135</v>
      </c>
      <c r="I9" s="179" t="s">
        <v>321</v>
      </c>
      <c r="J9" s="179" t="s">
        <v>325</v>
      </c>
      <c r="K9" s="179" t="s">
        <v>1136</v>
      </c>
      <c r="L9" s="190" t="s">
        <v>1137</v>
      </c>
      <c r="M9" s="154" t="s">
        <v>331</v>
      </c>
    </row>
    <row r="10" spans="1:13" ht="12.9" customHeight="1">
      <c r="A10" s="181" t="s">
        <v>1170</v>
      </c>
      <c r="B10" s="318"/>
      <c r="C10" s="306"/>
      <c r="D10" s="306"/>
      <c r="E10" s="306"/>
      <c r="F10" s="306"/>
      <c r="G10" s="306"/>
      <c r="H10" s="306"/>
      <c r="I10" s="306"/>
      <c r="J10" s="306"/>
      <c r="K10" s="306"/>
      <c r="L10" s="306"/>
      <c r="M10" s="308">
        <f>C10+D10+E10+F10+G10+H10+J10+L10</f>
        <v>0</v>
      </c>
    </row>
    <row r="11" spans="1:13" ht="12.9" customHeight="1">
      <c r="A11" s="212" t="s">
        <v>1171</v>
      </c>
      <c r="B11" s="318"/>
      <c r="C11" s="306"/>
      <c r="D11" s="306"/>
      <c r="E11" s="306"/>
      <c r="F11" s="306"/>
      <c r="G11" s="306"/>
      <c r="H11" s="306"/>
      <c r="I11" s="306"/>
      <c r="J11" s="306"/>
      <c r="K11" s="306"/>
      <c r="L11" s="306"/>
      <c r="M11" s="308">
        <f t="shared" ref="M11:M25" si="0">C11+D11+E11+F11+G11+H11+J11+L11</f>
        <v>0</v>
      </c>
    </row>
    <row r="12" spans="1:13" ht="12.9" customHeight="1">
      <c r="A12" s="212" t="s">
        <v>1172</v>
      </c>
      <c r="B12" s="318"/>
      <c r="C12" s="306"/>
      <c r="D12" s="306"/>
      <c r="E12" s="306"/>
      <c r="F12" s="306"/>
      <c r="G12" s="306"/>
      <c r="H12" s="306"/>
      <c r="I12" s="306"/>
      <c r="J12" s="306"/>
      <c r="K12" s="306"/>
      <c r="L12" s="306"/>
      <c r="M12" s="308">
        <f t="shared" si="0"/>
        <v>0</v>
      </c>
    </row>
    <row r="13" spans="1:13" ht="12.9" customHeight="1">
      <c r="A13" s="181" t="s">
        <v>1173</v>
      </c>
      <c r="B13" s="318"/>
      <c r="C13" s="306"/>
      <c r="D13" s="306"/>
      <c r="E13" s="306"/>
      <c r="F13" s="306"/>
      <c r="G13" s="306"/>
      <c r="H13" s="306"/>
      <c r="I13" s="306"/>
      <c r="J13" s="306"/>
      <c r="K13" s="306"/>
      <c r="L13" s="306"/>
      <c r="M13" s="308">
        <f t="shared" si="0"/>
        <v>0</v>
      </c>
    </row>
    <row r="14" spans="1:13" ht="12.9" customHeight="1">
      <c r="A14" s="181" t="s">
        <v>1174</v>
      </c>
      <c r="B14" s="318"/>
      <c r="C14" s="306"/>
      <c r="D14" s="306"/>
      <c r="E14" s="306"/>
      <c r="F14" s="306"/>
      <c r="G14" s="306"/>
      <c r="H14" s="306"/>
      <c r="I14" s="306"/>
      <c r="J14" s="306"/>
      <c r="K14" s="306"/>
      <c r="L14" s="306"/>
      <c r="M14" s="308">
        <f t="shared" si="0"/>
        <v>0</v>
      </c>
    </row>
    <row r="15" spans="1:13" ht="12.9" customHeight="1">
      <c r="A15" s="182" t="s">
        <v>1175</v>
      </c>
      <c r="B15" s="318"/>
      <c r="C15" s="306"/>
      <c r="D15" s="306"/>
      <c r="E15" s="306"/>
      <c r="F15" s="306"/>
      <c r="G15" s="306"/>
      <c r="H15" s="306"/>
      <c r="I15" s="306"/>
      <c r="J15" s="306"/>
      <c r="K15" s="306"/>
      <c r="L15" s="306"/>
      <c r="M15" s="308">
        <f t="shared" si="0"/>
        <v>0</v>
      </c>
    </row>
    <row r="16" spans="1:13" ht="12.9" customHeight="1">
      <c r="A16" s="212" t="s">
        <v>1176</v>
      </c>
      <c r="B16" s="318"/>
      <c r="C16" s="306"/>
      <c r="D16" s="306"/>
      <c r="E16" s="306"/>
      <c r="F16" s="306"/>
      <c r="G16" s="306"/>
      <c r="H16" s="306"/>
      <c r="I16" s="306"/>
      <c r="J16" s="306"/>
      <c r="K16" s="306"/>
      <c r="L16" s="306"/>
      <c r="M16" s="308">
        <f t="shared" si="0"/>
        <v>0</v>
      </c>
    </row>
    <row r="17" spans="1:13" ht="12.9" customHeight="1">
      <c r="A17" s="212" t="s">
        <v>1177</v>
      </c>
      <c r="B17" s="318"/>
      <c r="C17" s="306"/>
      <c r="D17" s="306"/>
      <c r="E17" s="306"/>
      <c r="F17" s="306"/>
      <c r="G17" s="306"/>
      <c r="H17" s="306"/>
      <c r="I17" s="306"/>
      <c r="J17" s="306"/>
      <c r="K17" s="306"/>
      <c r="L17" s="306"/>
      <c r="M17" s="308">
        <f t="shared" si="0"/>
        <v>0</v>
      </c>
    </row>
    <row r="18" spans="1:13" ht="12.9" customHeight="1">
      <c r="A18" s="213" t="s">
        <v>1178</v>
      </c>
      <c r="B18" s="318"/>
      <c r="C18" s="306"/>
      <c r="D18" s="306"/>
      <c r="E18" s="306"/>
      <c r="F18" s="306"/>
      <c r="G18" s="306"/>
      <c r="H18" s="306"/>
      <c r="I18" s="306"/>
      <c r="J18" s="306"/>
      <c r="K18" s="306"/>
      <c r="L18" s="306"/>
      <c r="M18" s="308">
        <f t="shared" si="0"/>
        <v>0</v>
      </c>
    </row>
    <row r="19" spans="1:13" ht="12.9" customHeight="1">
      <c r="A19" s="212" t="s">
        <v>1179</v>
      </c>
      <c r="B19" s="318"/>
      <c r="C19" s="306"/>
      <c r="D19" s="306"/>
      <c r="E19" s="306"/>
      <c r="F19" s="306"/>
      <c r="G19" s="306"/>
      <c r="H19" s="306"/>
      <c r="I19" s="306"/>
      <c r="J19" s="306"/>
      <c r="K19" s="306"/>
      <c r="L19" s="306"/>
      <c r="M19" s="308">
        <f t="shared" si="0"/>
        <v>0</v>
      </c>
    </row>
    <row r="20" spans="1:13" ht="12.9" customHeight="1">
      <c r="A20" s="212" t="s">
        <v>1180</v>
      </c>
      <c r="B20" s="318"/>
      <c r="C20" s="306"/>
      <c r="D20" s="306"/>
      <c r="E20" s="306"/>
      <c r="F20" s="306"/>
      <c r="G20" s="306"/>
      <c r="H20" s="306"/>
      <c r="I20" s="306"/>
      <c r="J20" s="306"/>
      <c r="K20" s="306"/>
      <c r="L20" s="306"/>
      <c r="M20" s="308">
        <f t="shared" si="0"/>
        <v>0</v>
      </c>
    </row>
    <row r="21" spans="1:13" ht="12.9" customHeight="1">
      <c r="A21" s="181" t="s">
        <v>1181</v>
      </c>
      <c r="B21" s="318"/>
      <c r="C21" s="306"/>
      <c r="D21" s="306"/>
      <c r="E21" s="306"/>
      <c r="F21" s="306"/>
      <c r="G21" s="306"/>
      <c r="H21" s="306"/>
      <c r="I21" s="306"/>
      <c r="J21" s="306"/>
      <c r="K21" s="306"/>
      <c r="L21" s="306"/>
      <c r="M21" s="308">
        <f t="shared" si="0"/>
        <v>0</v>
      </c>
    </row>
    <row r="22" spans="1:13" ht="12.9" customHeight="1">
      <c r="A22" s="212" t="s">
        <v>1182</v>
      </c>
      <c r="B22" s="318"/>
      <c r="C22" s="306"/>
      <c r="D22" s="306"/>
      <c r="E22" s="306"/>
      <c r="F22" s="306"/>
      <c r="G22" s="306"/>
      <c r="H22" s="306"/>
      <c r="I22" s="306"/>
      <c r="J22" s="306"/>
      <c r="K22" s="306"/>
      <c r="L22" s="306"/>
      <c r="M22" s="308">
        <f t="shared" si="0"/>
        <v>0</v>
      </c>
    </row>
    <row r="23" spans="1:13" ht="12.9" customHeight="1">
      <c r="A23" s="212" t="s">
        <v>1183</v>
      </c>
      <c r="B23" s="318"/>
      <c r="C23" s="306"/>
      <c r="D23" s="306"/>
      <c r="E23" s="306"/>
      <c r="F23" s="306"/>
      <c r="G23" s="306"/>
      <c r="H23" s="306"/>
      <c r="I23" s="306"/>
      <c r="J23" s="306"/>
      <c r="K23" s="306"/>
      <c r="L23" s="306"/>
      <c r="M23" s="308">
        <f t="shared" si="0"/>
        <v>0</v>
      </c>
    </row>
    <row r="24" spans="1:13" ht="12.9" customHeight="1">
      <c r="A24" s="212" t="s">
        <v>1184</v>
      </c>
      <c r="B24" s="318"/>
      <c r="C24" s="306"/>
      <c r="D24" s="306"/>
      <c r="E24" s="306"/>
      <c r="F24" s="306"/>
      <c r="G24" s="306"/>
      <c r="H24" s="306"/>
      <c r="I24" s="306"/>
      <c r="J24" s="306"/>
      <c r="K24" s="306"/>
      <c r="L24" s="306"/>
      <c r="M24" s="308">
        <f t="shared" si="0"/>
        <v>0</v>
      </c>
    </row>
    <row r="25" spans="1:13" ht="12.9" customHeight="1">
      <c r="A25" s="212" t="s">
        <v>1185</v>
      </c>
      <c r="B25" s="318"/>
      <c r="C25" s="306"/>
      <c r="D25" s="306"/>
      <c r="E25" s="306"/>
      <c r="F25" s="306"/>
      <c r="G25" s="306"/>
      <c r="H25" s="306"/>
      <c r="I25" s="306"/>
      <c r="J25" s="306"/>
      <c r="K25" s="306"/>
      <c r="L25" s="306"/>
      <c r="M25" s="308">
        <f t="shared" si="0"/>
        <v>0</v>
      </c>
    </row>
    <row r="26" spans="1:13" ht="12.9" customHeight="1">
      <c r="A26" s="181"/>
      <c r="B26" s="320"/>
      <c r="C26" s="320"/>
      <c r="D26" s="320"/>
      <c r="E26" s="320"/>
      <c r="F26" s="320"/>
      <c r="G26" s="320"/>
      <c r="H26" s="320"/>
      <c r="I26" s="320"/>
      <c r="J26" s="320"/>
      <c r="K26" s="320"/>
      <c r="L26" s="321"/>
      <c r="M26" s="322"/>
    </row>
    <row r="27" spans="1:13" ht="12.9" customHeight="1">
      <c r="A27" s="182"/>
      <c r="B27" s="320"/>
      <c r="C27" s="320"/>
      <c r="D27" s="320"/>
      <c r="E27" s="320"/>
      <c r="F27" s="320"/>
      <c r="G27" s="320"/>
      <c r="H27" s="320"/>
      <c r="I27" s="320"/>
      <c r="J27" s="320"/>
      <c r="K27" s="320"/>
      <c r="L27" s="321"/>
      <c r="M27" s="322"/>
    </row>
    <row r="28" spans="1:13" ht="12.9" customHeight="1">
      <c r="A28" s="183"/>
      <c r="B28" s="320"/>
      <c r="C28" s="320"/>
      <c r="D28" s="320"/>
      <c r="E28" s="320"/>
      <c r="F28" s="320"/>
      <c r="G28" s="320"/>
      <c r="H28" s="320"/>
      <c r="I28" s="320"/>
      <c r="J28" s="320"/>
      <c r="K28" s="320"/>
      <c r="L28" s="321"/>
      <c r="M28" s="322"/>
    </row>
    <row r="29" spans="1:13" ht="12.9" customHeight="1">
      <c r="A29" s="182"/>
      <c r="B29" s="320"/>
      <c r="C29" s="320"/>
      <c r="D29" s="320"/>
      <c r="E29" s="320"/>
      <c r="F29" s="320"/>
      <c r="G29" s="320"/>
      <c r="H29" s="320"/>
      <c r="I29" s="320"/>
      <c r="J29" s="320"/>
      <c r="K29" s="320"/>
      <c r="L29" s="321"/>
      <c r="M29" s="322"/>
    </row>
    <row r="30" spans="1:13" ht="12.9" customHeight="1">
      <c r="A30" s="184"/>
      <c r="B30" s="320"/>
      <c r="C30" s="320"/>
      <c r="D30" s="320"/>
      <c r="E30" s="320"/>
      <c r="F30" s="320"/>
      <c r="G30" s="320"/>
      <c r="H30" s="320"/>
      <c r="I30" s="320"/>
      <c r="J30" s="320"/>
      <c r="K30" s="320"/>
      <c r="L30" s="321"/>
      <c r="M30" s="322"/>
    </row>
    <row r="31" spans="1:13" ht="12.9" customHeight="1">
      <c r="A31" s="182"/>
      <c r="B31" s="320"/>
      <c r="C31" s="320"/>
      <c r="D31" s="320"/>
      <c r="E31" s="320"/>
      <c r="F31" s="320"/>
      <c r="G31" s="320"/>
      <c r="H31" s="320"/>
      <c r="I31" s="320"/>
      <c r="J31" s="320"/>
      <c r="K31" s="320"/>
      <c r="L31" s="321"/>
      <c r="M31" s="322"/>
    </row>
    <row r="32" spans="1:13" ht="12.9" customHeight="1">
      <c r="A32" s="182"/>
      <c r="B32" s="320"/>
      <c r="C32" s="320"/>
      <c r="D32" s="320"/>
      <c r="E32" s="320"/>
      <c r="F32" s="320"/>
      <c r="G32" s="320"/>
      <c r="H32" s="320"/>
      <c r="I32" s="320"/>
      <c r="J32" s="320"/>
      <c r="K32" s="320"/>
      <c r="L32" s="321"/>
      <c r="M32" s="322"/>
    </row>
    <row r="33" spans="1:14" ht="12.9" customHeight="1">
      <c r="A33" s="182"/>
      <c r="B33" s="320"/>
      <c r="C33" s="320"/>
      <c r="D33" s="320"/>
      <c r="E33" s="320"/>
      <c r="F33" s="320"/>
      <c r="G33" s="320"/>
      <c r="H33" s="320"/>
      <c r="I33" s="320"/>
      <c r="J33" s="320"/>
      <c r="K33" s="320"/>
      <c r="L33" s="321"/>
      <c r="M33" s="322"/>
      <c r="N33" s="397"/>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B10+B11+B12+B13+B14+B15+B16+B18+B19+B20+B21+B22+B23+B24+B25+B26+B27+B28+B29+B30</f>
        <v>0</v>
      </c>
      <c r="C35" s="316">
        <f t="shared" ref="C35:L35" si="1">C10+C11+C12+C13+C14+C15+C16+C18+C19+C20+C21+C22+C23+C24+C25+C26+C27+C28+C29+C30</f>
        <v>0</v>
      </c>
      <c r="D35" s="316">
        <f t="shared" si="1"/>
        <v>0</v>
      </c>
      <c r="E35" s="316">
        <f t="shared" si="1"/>
        <v>0</v>
      </c>
      <c r="F35" s="316">
        <f t="shared" si="1"/>
        <v>0</v>
      </c>
      <c r="G35" s="316">
        <f t="shared" si="1"/>
        <v>0</v>
      </c>
      <c r="H35" s="316">
        <f t="shared" si="1"/>
        <v>0</v>
      </c>
      <c r="I35" s="316">
        <f t="shared" si="1"/>
        <v>0</v>
      </c>
      <c r="J35" s="316">
        <f t="shared" si="1"/>
        <v>0</v>
      </c>
      <c r="K35" s="316">
        <f t="shared" si="1"/>
        <v>0</v>
      </c>
      <c r="L35" s="316">
        <f t="shared" si="1"/>
        <v>0</v>
      </c>
      <c r="M35" s="317">
        <f>C35+D35+E35+F35+G35+H35+J35+L35</f>
        <v>0</v>
      </c>
      <c r="N35" s="225"/>
    </row>
    <row r="36" spans="1:14" s="15" customFormat="1" ht="12.9" customHeight="1">
      <c r="A36" s="214" t="s">
        <v>1186</v>
      </c>
      <c r="B36" s="171"/>
      <c r="C36" s="171"/>
      <c r="D36" s="171"/>
      <c r="E36" s="171"/>
      <c r="F36" s="171"/>
      <c r="G36" s="171"/>
      <c r="H36" s="171"/>
      <c r="I36" s="171"/>
      <c r="J36" s="171"/>
      <c r="K36" s="171"/>
      <c r="L36" s="171"/>
      <c r="M36" s="226"/>
      <c r="N36" s="226" t="str">
        <f>IF(ISERROR(MATCH("x",N10:N35,0)),"","x")</f>
        <v/>
      </c>
    </row>
    <row r="37" spans="1:14" s="15" customFormat="1" ht="12.9" customHeight="1">
      <c r="B37" s="225"/>
      <c r="C37" s="225"/>
      <c r="D37" s="225"/>
      <c r="E37" s="225"/>
      <c r="F37" s="225"/>
      <c r="G37" s="225"/>
      <c r="H37" s="225"/>
      <c r="I37" s="225"/>
      <c r="J37" s="225"/>
      <c r="K37" s="225"/>
      <c r="L37" s="225"/>
      <c r="N37" s="226" t="str">
        <f>IF(ISERROR(MATCH("x",B37:L37,0)),"","x")</f>
        <v/>
      </c>
    </row>
    <row r="38" spans="1:14" ht="12.9" customHeight="1" thickBot="1">
      <c r="A38" s="613"/>
      <c r="B38" s="614"/>
      <c r="C38" s="614"/>
      <c r="D38" s="614"/>
      <c r="E38" s="614"/>
      <c r="F38" s="614"/>
      <c r="G38" s="614"/>
      <c r="H38" s="12"/>
      <c r="I38" s="12"/>
      <c r="J38" s="12"/>
      <c r="K38" s="12"/>
      <c r="L38" s="12"/>
      <c r="M38" s="15"/>
      <c r="N38" s="397"/>
    </row>
    <row r="39" spans="1:14" ht="12.9" customHeight="1" thickBot="1">
      <c r="A39" s="348" t="s">
        <v>1187</v>
      </c>
      <c r="B39" s="349">
        <f>SUM(B10:B30)</f>
        <v>0</v>
      </c>
      <c r="C39" s="349">
        <f t="shared" ref="C39:L39" si="2">SUM(C10:C30)</f>
        <v>0</v>
      </c>
      <c r="D39" s="349">
        <f t="shared" si="2"/>
        <v>0</v>
      </c>
      <c r="E39" s="349">
        <f t="shared" si="2"/>
        <v>0</v>
      </c>
      <c r="F39" s="349">
        <f t="shared" si="2"/>
        <v>0</v>
      </c>
      <c r="G39" s="349">
        <f t="shared" si="2"/>
        <v>0</v>
      </c>
      <c r="H39" s="349">
        <f t="shared" si="2"/>
        <v>0</v>
      </c>
      <c r="I39" s="349">
        <f t="shared" si="2"/>
        <v>0</v>
      </c>
      <c r="J39" s="349">
        <f t="shared" si="2"/>
        <v>0</v>
      </c>
      <c r="K39" s="349">
        <f t="shared" si="2"/>
        <v>0</v>
      </c>
      <c r="L39" s="349">
        <f t="shared" si="2"/>
        <v>0</v>
      </c>
      <c r="M39" s="521">
        <f>C39+D39+E39+F39+G39+H39+J39+L39</f>
        <v>0</v>
      </c>
      <c r="N39" s="397"/>
    </row>
    <row r="40" spans="1:14" ht="12.9" customHeight="1">
      <c r="A40" s="397"/>
      <c r="B40" s="147"/>
      <c r="C40" s="12"/>
      <c r="D40" s="12"/>
      <c r="E40" s="12"/>
      <c r="F40" s="12"/>
      <c r="G40" s="12"/>
      <c r="H40" s="12"/>
      <c r="I40" s="397"/>
      <c r="J40" s="397"/>
      <c r="K40" s="397"/>
      <c r="L40" s="397"/>
      <c r="M40" s="397"/>
      <c r="N40" s="397"/>
    </row>
    <row r="41" spans="1:14" ht="12.9" customHeight="1">
      <c r="A41" s="397"/>
      <c r="B41" s="15"/>
      <c r="C41" s="15"/>
      <c r="D41" s="397"/>
      <c r="E41" s="397"/>
      <c r="F41" s="15"/>
      <c r="G41" s="15"/>
      <c r="H41" s="397"/>
      <c r="I41" s="397"/>
      <c r="J41" s="397"/>
      <c r="K41" s="397"/>
      <c r="L41" s="397"/>
      <c r="M41" s="397"/>
      <c r="N41" s="397"/>
    </row>
    <row r="42" spans="1:14" ht="12.9" customHeight="1">
      <c r="A42" s="397"/>
      <c r="B42" s="15"/>
      <c r="C42" s="15"/>
      <c r="D42" s="397"/>
      <c r="E42" s="397"/>
      <c r="F42" s="15"/>
      <c r="G42" s="15"/>
      <c r="H42" s="397"/>
      <c r="I42" s="397"/>
      <c r="J42" s="397"/>
      <c r="K42" s="397"/>
      <c r="L42" s="397"/>
      <c r="M42" s="397"/>
      <c r="N42" s="397"/>
    </row>
    <row r="43" spans="1:14" ht="12.9" customHeight="1">
      <c r="A43" s="397"/>
      <c r="B43" s="12"/>
      <c r="C43" s="397"/>
      <c r="D43" s="397"/>
      <c r="E43" s="397"/>
      <c r="F43" s="397"/>
      <c r="G43" s="397"/>
      <c r="H43" s="397"/>
      <c r="I43" s="397"/>
      <c r="J43" s="397"/>
      <c r="K43" s="397"/>
      <c r="L43" s="397"/>
      <c r="M43" s="397"/>
      <c r="N43" s="397"/>
    </row>
    <row r="44" spans="1:14" ht="12.9" customHeight="1">
      <c r="A44" s="397"/>
      <c r="B44" s="351"/>
      <c r="C44" s="12"/>
      <c r="D44" s="397"/>
      <c r="E44" s="397"/>
      <c r="F44" s="397"/>
      <c r="G44" s="397"/>
      <c r="H44" s="397"/>
      <c r="I44" s="397"/>
      <c r="J44" s="397"/>
      <c r="K44" s="397"/>
      <c r="L44" s="397"/>
      <c r="M44" s="397"/>
      <c r="N44" s="397"/>
    </row>
    <row r="45" spans="1:14" ht="12.9" customHeight="1">
      <c r="A45" s="397"/>
      <c r="B45" s="72"/>
      <c r="C45" s="601"/>
      <c r="D45" s="601"/>
      <c r="E45" s="601"/>
      <c r="F45" s="601"/>
      <c r="G45" s="601"/>
      <c r="H45" s="601"/>
      <c r="I45" s="601"/>
      <c r="J45" s="601"/>
      <c r="K45" s="601"/>
      <c r="L45" s="601"/>
      <c r="M45" s="397"/>
      <c r="N45" s="397"/>
    </row>
    <row r="46" spans="1:14" ht="12.9" customHeight="1">
      <c r="A46" s="397"/>
      <c r="B46" s="72"/>
      <c r="C46" s="601"/>
      <c r="D46" s="574"/>
      <c r="E46" s="574"/>
      <c r="F46" s="574"/>
      <c r="G46" s="574"/>
      <c r="H46" s="574"/>
      <c r="I46" s="574"/>
      <c r="J46" s="397"/>
      <c r="K46" s="397"/>
      <c r="L46" s="397"/>
      <c r="M46" s="397"/>
      <c r="N46" s="397"/>
    </row>
    <row r="47" spans="1:14" ht="12.9" customHeight="1">
      <c r="A47" s="397"/>
      <c r="B47" s="72"/>
      <c r="C47" s="601"/>
      <c r="D47" s="601"/>
      <c r="E47" s="601"/>
      <c r="F47" s="601"/>
      <c r="G47" s="601"/>
      <c r="H47" s="601"/>
      <c r="I47" s="601"/>
      <c r="J47" s="601"/>
      <c r="K47" s="601"/>
      <c r="L47" s="601"/>
      <c r="M47" s="397"/>
      <c r="N47" s="397"/>
    </row>
    <row r="48" spans="1:14" ht="12.9" customHeight="1">
      <c r="A48" s="397"/>
      <c r="B48" s="12"/>
      <c r="C48" s="601"/>
      <c r="D48" s="574"/>
      <c r="E48" s="574"/>
      <c r="F48" s="574"/>
      <c r="G48" s="574"/>
      <c r="H48" s="574"/>
      <c r="I48" s="574"/>
      <c r="J48" s="397"/>
      <c r="K48" s="397"/>
      <c r="L48" s="397"/>
      <c r="M48" s="397"/>
      <c r="N48" s="397"/>
    </row>
    <row r="49" spans="1:18" ht="12.9" customHeight="1">
      <c r="A49" s="397"/>
      <c r="B49" s="12"/>
      <c r="C49" s="397"/>
      <c r="D49" s="397"/>
      <c r="E49" s="397"/>
      <c r="F49" s="397"/>
      <c r="G49" s="397"/>
      <c r="H49" s="397"/>
      <c r="I49" s="397"/>
      <c r="J49" s="397"/>
      <c r="K49" s="397"/>
      <c r="L49" s="397"/>
      <c r="M49" s="397"/>
      <c r="N49" s="397"/>
      <c r="O49" s="397"/>
      <c r="P49" s="397"/>
      <c r="Q49" s="397"/>
      <c r="R49" s="397"/>
    </row>
    <row r="50" spans="1:18" s="15" customFormat="1" ht="12.9" customHeight="1">
      <c r="A50" s="15" t="str">
        <f>IF(B50="X","Program Income Carryover","")</f>
        <v/>
      </c>
      <c r="B50" s="227" t="str">
        <f>IF(K35&gt;L35,"X","")</f>
        <v/>
      </c>
      <c r="C50" s="600" t="str">
        <f>IF(B50="x","You cannot claim against this contract until all prior year program income has been expended.","")</f>
        <v/>
      </c>
      <c r="D50" s="574"/>
      <c r="E50" s="574"/>
      <c r="F50" s="574"/>
      <c r="G50" s="574"/>
      <c r="H50" s="574"/>
      <c r="I50" s="574"/>
      <c r="M50" s="167" t="str">
        <f>IF(B50="x","X","")</f>
        <v/>
      </c>
      <c r="N50" s="146"/>
      <c r="O50" s="146"/>
      <c r="P50" s="146"/>
      <c r="Q50" s="146"/>
      <c r="R50" s="146"/>
    </row>
    <row r="51" spans="1:18" s="15" customFormat="1" ht="12.9" customHeight="1">
      <c r="A51" s="15" t="e">
        <f>IF(B51="x","Non-Submission Period","")</f>
        <v>#N/A</v>
      </c>
      <c r="B51" s="227" t="e">
        <f>IF(D4="Non-Submission Period","X","")</f>
        <v>#N/A</v>
      </c>
      <c r="C51" s="600" t="e">
        <f>IF(B51="x","You cannot claim against this contract as this is a Non-Submission Period for the contract.","")</f>
        <v>#N/A</v>
      </c>
      <c r="D51" s="574"/>
      <c r="E51" s="574"/>
      <c r="F51" s="574"/>
      <c r="G51" s="574"/>
      <c r="H51" s="574"/>
      <c r="I51" s="574"/>
      <c r="M51" s="167" t="e">
        <f>IF(B51="x","X","")</f>
        <v>#N/A</v>
      </c>
    </row>
    <row r="52" spans="1:18" s="15" customFormat="1" ht="12.9" customHeight="1">
      <c r="A52" s="15" t="str">
        <f>IF(OR(N37="x",N36="x"),"Cell Error","")</f>
        <v/>
      </c>
      <c r="B52" s="156" t="str">
        <f>IF(OR(N37="x",N36="x"),"X","")</f>
        <v/>
      </c>
      <c r="C52" s="601" t="str">
        <f>IF(OR(N37="x",N36="x"),"Double check your columns for '#VALUE!' - this indicates an error on that line item.","")</f>
        <v/>
      </c>
      <c r="D52" s="601"/>
      <c r="E52" s="601"/>
      <c r="F52" s="601"/>
      <c r="G52" s="601"/>
      <c r="H52" s="601"/>
      <c r="I52" s="601"/>
      <c r="J52" s="574"/>
      <c r="M52" s="167" t="str">
        <f>IF(B52="x","X","")</f>
        <v/>
      </c>
    </row>
    <row r="53" spans="1:18">
      <c r="A53" s="15"/>
      <c r="B53" s="15"/>
      <c r="C53" s="15"/>
      <c r="D53" s="15"/>
      <c r="E53" s="15"/>
      <c r="F53" s="397"/>
      <c r="G53" s="397"/>
      <c r="H53" s="397"/>
      <c r="I53" s="397"/>
      <c r="J53" s="397"/>
      <c r="K53" s="397"/>
      <c r="L53" s="397"/>
      <c r="M53" s="397"/>
      <c r="N53" s="397"/>
      <c r="O53" s="397"/>
      <c r="P53" s="397"/>
      <c r="Q53" s="397"/>
      <c r="R53" s="397"/>
    </row>
    <row r="54" spans="1:18">
      <c r="A54" s="15"/>
      <c r="B54" s="15"/>
      <c r="C54" s="15"/>
      <c r="D54" s="15"/>
      <c r="E54" s="15"/>
      <c r="F54" s="397"/>
      <c r="G54" s="397"/>
      <c r="H54" s="397"/>
      <c r="I54" s="397"/>
      <c r="J54" s="397"/>
      <c r="K54" s="397"/>
      <c r="L54" s="397"/>
      <c r="M54" s="397"/>
      <c r="N54" s="397"/>
      <c r="O54" s="397"/>
      <c r="P54" s="397"/>
      <c r="Q54" s="397"/>
      <c r="R54" s="397"/>
    </row>
    <row r="55" spans="1:18">
      <c r="A55" s="15"/>
      <c r="B55" s="15"/>
      <c r="C55" s="15"/>
      <c r="D55" s="15"/>
      <c r="E55" s="15"/>
      <c r="F55" s="397"/>
      <c r="G55" s="397"/>
      <c r="H55" s="397"/>
      <c r="I55" s="397"/>
      <c r="J55" s="397"/>
      <c r="K55" s="397"/>
      <c r="L55" s="397"/>
      <c r="M55" s="397"/>
      <c r="N55" s="397"/>
      <c r="O55" s="397"/>
      <c r="P55" s="397"/>
      <c r="Q55" s="397"/>
      <c r="R55" s="397"/>
    </row>
  </sheetData>
  <sheetProtection password="C3C4" sheet="1" objects="1" scenarios="1"/>
  <sortState ref="A10:A26">
    <sortCondition ref="A10:A26"/>
  </sortState>
  <customSheetViews>
    <customSheetView guid="{89953FCB-456A-4C2D-8912-B30825F750D3}" fitToPage="1" hiddenRows="1" topLeftCell="A4">
      <selection activeCell="C19" sqref="C19"/>
      <pageMargins left="0" right="0" top="0" bottom="0" header="0" footer="0"/>
      <pageSetup scale="67" orientation="landscape" r:id="rId1"/>
    </customSheetView>
  </customSheetViews>
  <mergeCells count="16">
    <mergeCell ref="C52:J52"/>
    <mergeCell ref="C50:I50"/>
    <mergeCell ref="C51:I51"/>
    <mergeCell ref="E5:F5"/>
    <mergeCell ref="K1:L1"/>
    <mergeCell ref="K2:L2"/>
    <mergeCell ref="E3:F3"/>
    <mergeCell ref="K3:L3"/>
    <mergeCell ref="D4:F4"/>
    <mergeCell ref="C46:I46"/>
    <mergeCell ref="C47:L47"/>
    <mergeCell ref="C48:I48"/>
    <mergeCell ref="A7:L7"/>
    <mergeCell ref="B8:L8"/>
    <mergeCell ref="A38:G38"/>
    <mergeCell ref="C45:L45"/>
  </mergeCells>
  <dataValidations count="1">
    <dataValidation type="whole" allowBlank="1" showInputMessage="1" showErrorMessage="1" errorTitle="Whole Number Validation" error="You must enter all dollars as whole numbers - no decimals ( cents) or spaces." sqref="B10:L25" xr:uid="{49332407-9D50-431A-BC76-646F5CDDACCA}">
      <formula1>-100000000</formula1>
      <formula2>100000000</formula2>
    </dataValidation>
  </dataValidations>
  <printOptions horizontalCentered="1"/>
  <pageMargins left="0.25" right="0.25" top="0.25" bottom="0.25" header="0" footer="0"/>
  <pageSetup scale="73" orientation="landscape" r:id="rId2"/>
  <ignoredErrors>
    <ignoredError sqref="E5"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3"/>
    <pageSetUpPr fitToPage="1"/>
  </sheetPr>
  <dimension ref="A1:V55"/>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ColWidth="9.109375" defaultRowHeight="13.2"/>
  <cols>
    <col min="1" max="1" width="31.109375" style="15" bestFit="1" customWidth="1"/>
    <col min="2" max="12" width="12.6640625" style="15" customWidth="1"/>
    <col min="13" max="13" width="14.33203125" style="15" customWidth="1"/>
    <col min="14" max="16384" width="9.109375" style="15"/>
  </cols>
  <sheetData>
    <row r="1" spans="1:14" ht="15" customHeight="1">
      <c r="A1" s="601" t="str">
        <f>IF(N1="x","End of Year approaching, please address errors listed below.","")</f>
        <v/>
      </c>
      <c r="B1" s="601"/>
      <c r="C1" s="601"/>
      <c r="F1" s="156"/>
      <c r="K1" s="604" t="s">
        <v>1188</v>
      </c>
      <c r="L1" s="615"/>
      <c r="N1" s="167" t="str">
        <f>IF(AND(G5="x",OR(M43="x",M44="x",M45="x",M46="x",M47="x",M50="x",M51="x",M52="x")),"x","")</f>
        <v/>
      </c>
    </row>
    <row r="2" spans="1:14" ht="15" customHeight="1">
      <c r="A2" s="601" t="str">
        <f>IF(N2="x","Please address the errors listed below.","")</f>
        <v/>
      </c>
      <c r="B2" s="574"/>
      <c r="F2" s="156" t="s">
        <v>1121</v>
      </c>
      <c r="K2" s="603" t="s">
        <v>1189</v>
      </c>
      <c r="L2" s="615"/>
      <c r="N2" s="167" t="str">
        <f>IF(G5="x","",IF(OR(M50="x",M51="x",M43="x"),"x",""))</f>
        <v/>
      </c>
    </row>
    <row r="3" spans="1:14" ht="15" customHeight="1">
      <c r="A3" s="17" t="s">
        <v>1123</v>
      </c>
      <c r="E3" s="608" t="str">
        <f>'III-B - #11619'!E3:F3</f>
        <v>Menominee Tribe</v>
      </c>
      <c r="F3" s="608"/>
      <c r="K3" s="220" t="s">
        <v>1190</v>
      </c>
      <c r="L3" s="220"/>
      <c r="N3" s="62"/>
    </row>
    <row r="4" spans="1:14" ht="15" customHeight="1">
      <c r="A4" s="17" t="s">
        <v>1125</v>
      </c>
      <c r="D4" s="608" t="e">
        <f>LOOKUP(E5,Date,'Addl Info'!B21:B33)</f>
        <v>#N/A</v>
      </c>
      <c r="E4" s="609"/>
      <c r="F4" s="609"/>
      <c r="K4" s="603" t="s">
        <v>1191</v>
      </c>
      <c r="L4" s="603"/>
    </row>
    <row r="5" spans="1:14" ht="15" customHeight="1">
      <c r="A5" s="17" t="s">
        <v>1126</v>
      </c>
      <c r="E5" s="608" t="str">
        <f>'III-B - #11619'!E5:F5</f>
        <v/>
      </c>
      <c r="F5" s="608"/>
      <c r="G5" s="62" t="str">
        <f>IF(OR(E5="October 2019",E5="November 2019",E5="December 2019",E5="Final Submission 2019"),"x","")</f>
        <v/>
      </c>
    </row>
    <row r="6" spans="1:14" ht="15" customHeight="1">
      <c r="A6" s="17" t="s">
        <v>1127</v>
      </c>
      <c r="F6" s="16" t="e">
        <f>IF(D4="Non-Submission Period",0,LOOKUP(E3,CAUTAU,Allocations!E4:E92))</f>
        <v>#N/A</v>
      </c>
    </row>
    <row r="7" spans="1:14" ht="15" customHeight="1">
      <c r="A7" s="606"/>
      <c r="B7" s="607"/>
      <c r="C7" s="607"/>
      <c r="D7" s="607"/>
      <c r="E7" s="607"/>
      <c r="F7" s="607"/>
      <c r="G7" s="607"/>
      <c r="H7" s="607"/>
      <c r="I7" s="607"/>
      <c r="J7" s="607"/>
      <c r="K7" s="607"/>
      <c r="L7" s="607"/>
    </row>
    <row r="8" spans="1:14" s="2" customFormat="1" ht="15" customHeight="1" thickBot="1">
      <c r="A8" s="1"/>
      <c r="B8" s="605" t="s">
        <v>1510</v>
      </c>
      <c r="C8" s="605"/>
      <c r="D8" s="605"/>
      <c r="E8" s="605"/>
      <c r="F8" s="605"/>
      <c r="G8" s="605"/>
      <c r="H8" s="605"/>
      <c r="I8" s="605"/>
      <c r="J8" s="605"/>
    </row>
    <row r="9" spans="1:14" ht="77.099999999999994" customHeight="1">
      <c r="A9" s="187" t="s">
        <v>1128</v>
      </c>
      <c r="B9" s="188" t="s">
        <v>1192</v>
      </c>
      <c r="C9" s="189" t="s">
        <v>1193</v>
      </c>
      <c r="D9" s="188" t="s">
        <v>1131</v>
      </c>
      <c r="E9" s="188" t="s">
        <v>1132</v>
      </c>
      <c r="F9" s="188" t="s">
        <v>1133</v>
      </c>
      <c r="G9" s="188" t="s">
        <v>1134</v>
      </c>
      <c r="H9" s="188" t="s">
        <v>1135</v>
      </c>
      <c r="I9" s="188" t="s">
        <v>321</v>
      </c>
      <c r="J9" s="188" t="s">
        <v>325</v>
      </c>
      <c r="K9" s="188" t="s">
        <v>1136</v>
      </c>
      <c r="L9" s="190" t="s">
        <v>1137</v>
      </c>
      <c r="M9" s="154" t="s">
        <v>331</v>
      </c>
    </row>
    <row r="10" spans="1:14" ht="12.9" customHeight="1">
      <c r="A10" s="181" t="s">
        <v>1138</v>
      </c>
      <c r="B10" s="309"/>
      <c r="C10" s="309"/>
      <c r="D10" s="309"/>
      <c r="E10" s="309"/>
      <c r="F10" s="309"/>
      <c r="G10" s="309"/>
      <c r="H10" s="309"/>
      <c r="I10" s="309"/>
      <c r="J10" s="309"/>
      <c r="K10" s="309"/>
      <c r="L10" s="310"/>
      <c r="M10" s="311"/>
      <c r="N10" s="225"/>
    </row>
    <row r="11" spans="1:14" ht="12.9" customHeight="1">
      <c r="A11" s="181" t="s">
        <v>1139</v>
      </c>
      <c r="B11" s="309"/>
      <c r="C11" s="309"/>
      <c r="D11" s="309"/>
      <c r="E11" s="309"/>
      <c r="F11" s="309"/>
      <c r="G11" s="309"/>
      <c r="H11" s="309"/>
      <c r="I11" s="309"/>
      <c r="J11" s="309"/>
      <c r="K11" s="309"/>
      <c r="L11" s="310"/>
      <c r="M11" s="311"/>
      <c r="N11" s="225"/>
    </row>
    <row r="12" spans="1:14" ht="12.9" customHeight="1">
      <c r="A12" s="181" t="s">
        <v>1140</v>
      </c>
      <c r="B12" s="309"/>
      <c r="C12" s="309"/>
      <c r="D12" s="309"/>
      <c r="E12" s="309"/>
      <c r="F12" s="309"/>
      <c r="G12" s="309"/>
      <c r="H12" s="309"/>
      <c r="I12" s="309"/>
      <c r="J12" s="309"/>
      <c r="K12" s="309"/>
      <c r="L12" s="310"/>
      <c r="M12" s="311"/>
      <c r="N12" s="225"/>
    </row>
    <row r="13" spans="1:14" ht="12.9" customHeight="1">
      <c r="A13" s="181" t="s">
        <v>1141</v>
      </c>
      <c r="B13" s="309"/>
      <c r="C13" s="309"/>
      <c r="D13" s="309"/>
      <c r="E13" s="309"/>
      <c r="F13" s="309"/>
      <c r="G13" s="309"/>
      <c r="H13" s="309"/>
      <c r="I13" s="309"/>
      <c r="J13" s="309"/>
      <c r="K13" s="309"/>
      <c r="L13" s="310"/>
      <c r="M13" s="311"/>
      <c r="N13" s="225"/>
    </row>
    <row r="14" spans="1:14" ht="12.9" customHeight="1">
      <c r="A14" s="181" t="s">
        <v>1142</v>
      </c>
      <c r="B14" s="309"/>
      <c r="C14" s="309"/>
      <c r="D14" s="309"/>
      <c r="E14" s="309"/>
      <c r="F14" s="309"/>
      <c r="G14" s="309"/>
      <c r="H14" s="309"/>
      <c r="I14" s="309"/>
      <c r="J14" s="309"/>
      <c r="K14" s="309"/>
      <c r="L14" s="310"/>
      <c r="M14" s="311"/>
      <c r="N14" s="225"/>
    </row>
    <row r="15" spans="1:14" ht="12.9" customHeight="1">
      <c r="A15" s="181" t="s">
        <v>1143</v>
      </c>
      <c r="B15" s="309"/>
      <c r="C15" s="309"/>
      <c r="D15" s="309"/>
      <c r="E15" s="309"/>
      <c r="F15" s="309"/>
      <c r="G15" s="309"/>
      <c r="H15" s="309"/>
      <c r="I15" s="309"/>
      <c r="J15" s="309"/>
      <c r="K15" s="309"/>
      <c r="L15" s="310"/>
      <c r="M15" s="311"/>
      <c r="N15" s="225"/>
    </row>
    <row r="16" spans="1:14" ht="12.9" customHeight="1">
      <c r="A16" s="181" t="s">
        <v>1144</v>
      </c>
      <c r="B16" s="309"/>
      <c r="C16" s="309"/>
      <c r="D16" s="309"/>
      <c r="E16" s="309"/>
      <c r="F16" s="309"/>
      <c r="G16" s="309"/>
      <c r="H16" s="309"/>
      <c r="I16" s="309"/>
      <c r="J16" s="309"/>
      <c r="K16" s="309"/>
      <c r="L16" s="310"/>
      <c r="M16" s="311"/>
      <c r="N16" s="225"/>
    </row>
    <row r="17" spans="1:14" ht="12.9" customHeight="1">
      <c r="A17" s="181" t="s">
        <v>1145</v>
      </c>
      <c r="B17" s="306"/>
      <c r="C17" s="306"/>
      <c r="D17" s="306"/>
      <c r="E17" s="306"/>
      <c r="F17" s="306"/>
      <c r="G17" s="306"/>
      <c r="H17" s="306"/>
      <c r="I17" s="306"/>
      <c r="J17" s="306"/>
      <c r="K17" s="306"/>
      <c r="L17" s="307"/>
      <c r="M17" s="308">
        <f>C17+D17+E17+F17+G17+H17+I17+J17+K17+L17-K17-I17</f>
        <v>0</v>
      </c>
      <c r="N17" s="225"/>
    </row>
    <row r="18" spans="1:14" ht="12.9" customHeight="1">
      <c r="A18" s="181" t="s">
        <v>1146</v>
      </c>
      <c r="B18" s="306"/>
      <c r="C18" s="306"/>
      <c r="D18" s="306"/>
      <c r="E18" s="306"/>
      <c r="F18" s="306"/>
      <c r="G18" s="306"/>
      <c r="H18" s="306"/>
      <c r="I18" s="306"/>
      <c r="J18" s="306"/>
      <c r="K18" s="306"/>
      <c r="L18" s="307"/>
      <c r="M18" s="308">
        <f t="shared" ref="M18:M22" si="0">C18+D18+E18+F18+G18+H18+I18+J18+K18+L18-K18-I18</f>
        <v>0</v>
      </c>
      <c r="N18" s="225"/>
    </row>
    <row r="19" spans="1:14" ht="12.9" customHeight="1">
      <c r="A19" s="181" t="s">
        <v>1194</v>
      </c>
      <c r="B19" s="309"/>
      <c r="C19" s="309"/>
      <c r="D19" s="309"/>
      <c r="E19" s="309"/>
      <c r="F19" s="309"/>
      <c r="G19" s="309"/>
      <c r="H19" s="309"/>
      <c r="I19" s="309"/>
      <c r="J19" s="309"/>
      <c r="K19" s="309"/>
      <c r="L19" s="310"/>
      <c r="M19" s="311"/>
      <c r="N19" s="225"/>
    </row>
    <row r="20" spans="1:14" ht="12.9" customHeight="1">
      <c r="A20" s="181" t="s">
        <v>1195</v>
      </c>
      <c r="B20" s="309"/>
      <c r="C20" s="309"/>
      <c r="D20" s="309"/>
      <c r="E20" s="309"/>
      <c r="F20" s="309"/>
      <c r="G20" s="309"/>
      <c r="H20" s="309"/>
      <c r="I20" s="309"/>
      <c r="J20" s="309"/>
      <c r="K20" s="309"/>
      <c r="L20" s="310"/>
      <c r="M20" s="311"/>
      <c r="N20" s="225"/>
    </row>
    <row r="21" spans="1:14" ht="12.9" customHeight="1">
      <c r="A21" s="181" t="s">
        <v>1149</v>
      </c>
      <c r="B21" s="309"/>
      <c r="C21" s="309"/>
      <c r="D21" s="309"/>
      <c r="E21" s="309"/>
      <c r="F21" s="309"/>
      <c r="G21" s="309"/>
      <c r="H21" s="309"/>
      <c r="I21" s="309"/>
      <c r="J21" s="309"/>
      <c r="K21" s="309"/>
      <c r="L21" s="310"/>
      <c r="M21" s="311"/>
      <c r="N21" s="225"/>
    </row>
    <row r="22" spans="1:14" ht="12.9" customHeight="1">
      <c r="A22" s="181" t="s">
        <v>1150</v>
      </c>
      <c r="B22" s="306"/>
      <c r="C22" s="306"/>
      <c r="D22" s="306"/>
      <c r="E22" s="306"/>
      <c r="F22" s="306"/>
      <c r="G22" s="306"/>
      <c r="H22" s="306"/>
      <c r="I22" s="306"/>
      <c r="J22" s="306"/>
      <c r="K22" s="306"/>
      <c r="L22" s="307"/>
      <c r="M22" s="308">
        <f t="shared" si="0"/>
        <v>0</v>
      </c>
      <c r="N22" s="225"/>
    </row>
    <row r="23" spans="1:14" ht="12.9" customHeight="1">
      <c r="A23" s="181" t="s">
        <v>1151</v>
      </c>
      <c r="B23" s="309"/>
      <c r="C23" s="309"/>
      <c r="D23" s="309"/>
      <c r="E23" s="309"/>
      <c r="F23" s="309"/>
      <c r="G23" s="309"/>
      <c r="H23" s="309"/>
      <c r="I23" s="309"/>
      <c r="J23" s="309"/>
      <c r="K23" s="309"/>
      <c r="L23" s="310"/>
      <c r="M23" s="311"/>
      <c r="N23" s="225"/>
    </row>
    <row r="24" spans="1:14" ht="12.9" customHeight="1">
      <c r="A24" s="181" t="s">
        <v>1152</v>
      </c>
      <c r="B24" s="309"/>
      <c r="C24" s="309"/>
      <c r="D24" s="309"/>
      <c r="E24" s="309"/>
      <c r="F24" s="309"/>
      <c r="G24" s="309"/>
      <c r="H24" s="309"/>
      <c r="I24" s="309"/>
      <c r="J24" s="309"/>
      <c r="K24" s="309"/>
      <c r="L24" s="310"/>
      <c r="M24" s="311"/>
      <c r="N24" s="225"/>
    </row>
    <row r="25" spans="1:14" ht="12.9" customHeight="1">
      <c r="A25" s="191" t="s">
        <v>1196</v>
      </c>
      <c r="B25" s="309"/>
      <c r="C25" s="309"/>
      <c r="D25" s="309"/>
      <c r="E25" s="309"/>
      <c r="F25" s="309"/>
      <c r="G25" s="309"/>
      <c r="H25" s="309"/>
      <c r="I25" s="309"/>
      <c r="J25" s="309"/>
      <c r="K25" s="309"/>
      <c r="L25" s="310"/>
      <c r="M25" s="311"/>
      <c r="N25" s="225"/>
    </row>
    <row r="26" spans="1:14" ht="12.9" customHeight="1">
      <c r="A26" s="181" t="s">
        <v>1197</v>
      </c>
      <c r="B26" s="309"/>
      <c r="C26" s="309"/>
      <c r="D26" s="309"/>
      <c r="E26" s="309"/>
      <c r="F26" s="309"/>
      <c r="G26" s="309"/>
      <c r="H26" s="309"/>
      <c r="I26" s="309"/>
      <c r="J26" s="309"/>
      <c r="K26" s="309"/>
      <c r="L26" s="310"/>
      <c r="M26" s="311"/>
      <c r="N26" s="225"/>
    </row>
    <row r="27" spans="1:14" ht="12.9" customHeight="1">
      <c r="A27" s="181"/>
      <c r="B27" s="309"/>
      <c r="C27" s="309"/>
      <c r="D27" s="309"/>
      <c r="E27" s="309"/>
      <c r="F27" s="309"/>
      <c r="G27" s="309"/>
      <c r="H27" s="309"/>
      <c r="I27" s="309"/>
      <c r="J27" s="309"/>
      <c r="K27" s="309"/>
      <c r="L27" s="310"/>
      <c r="M27" s="311"/>
      <c r="N27" s="225"/>
    </row>
    <row r="28" spans="1:14" ht="12.9" customHeight="1">
      <c r="A28" s="181"/>
      <c r="B28" s="309"/>
      <c r="C28" s="309"/>
      <c r="D28" s="309"/>
      <c r="E28" s="309"/>
      <c r="F28" s="309"/>
      <c r="G28" s="309"/>
      <c r="H28" s="309"/>
      <c r="I28" s="309"/>
      <c r="J28" s="309"/>
      <c r="K28" s="309"/>
      <c r="L28" s="310"/>
      <c r="M28" s="311"/>
      <c r="N28" s="225"/>
    </row>
    <row r="29" spans="1:14" ht="12.9" customHeight="1">
      <c r="A29" s="181"/>
      <c r="B29" s="309"/>
      <c r="C29" s="309"/>
      <c r="D29" s="309"/>
      <c r="E29" s="309"/>
      <c r="F29" s="309"/>
      <c r="G29" s="309"/>
      <c r="H29" s="309"/>
      <c r="I29" s="309"/>
      <c r="J29" s="309"/>
      <c r="K29" s="309"/>
      <c r="L29" s="310"/>
      <c r="M29" s="311"/>
      <c r="N29" s="225"/>
    </row>
    <row r="30" spans="1:14" ht="12.9" customHeight="1">
      <c r="A30" s="181"/>
      <c r="B30" s="309"/>
      <c r="C30" s="309"/>
      <c r="D30" s="309"/>
      <c r="E30" s="309"/>
      <c r="F30" s="309"/>
      <c r="G30" s="309"/>
      <c r="H30" s="309"/>
      <c r="I30" s="309"/>
      <c r="J30" s="309"/>
      <c r="K30" s="309"/>
      <c r="L30" s="310"/>
      <c r="M30" s="311"/>
      <c r="N30" s="225"/>
    </row>
    <row r="31" spans="1:14" ht="12.9" customHeight="1">
      <c r="A31" s="181"/>
      <c r="B31" s="309"/>
      <c r="C31" s="309"/>
      <c r="D31" s="309"/>
      <c r="E31" s="309"/>
      <c r="F31" s="309"/>
      <c r="G31" s="309"/>
      <c r="H31" s="309"/>
      <c r="I31" s="309"/>
      <c r="J31" s="309"/>
      <c r="K31" s="309"/>
      <c r="L31" s="310"/>
      <c r="M31" s="311"/>
      <c r="N31" s="225"/>
    </row>
    <row r="32" spans="1:14" ht="12.9" customHeight="1">
      <c r="A32" s="181"/>
      <c r="B32" s="309"/>
      <c r="C32" s="309"/>
      <c r="D32" s="309"/>
      <c r="E32" s="309"/>
      <c r="F32" s="309"/>
      <c r="G32" s="309"/>
      <c r="H32" s="309"/>
      <c r="I32" s="309"/>
      <c r="J32" s="309"/>
      <c r="K32" s="309"/>
      <c r="L32" s="310"/>
      <c r="M32" s="311"/>
      <c r="N32" s="225"/>
    </row>
    <row r="33" spans="1:22" ht="12.9" customHeight="1">
      <c r="A33" s="181"/>
      <c r="B33" s="309"/>
      <c r="C33" s="309"/>
      <c r="D33" s="309"/>
      <c r="E33" s="309"/>
      <c r="F33" s="309"/>
      <c r="G33" s="309"/>
      <c r="H33" s="309"/>
      <c r="I33" s="309"/>
      <c r="J33" s="309"/>
      <c r="K33" s="309"/>
      <c r="L33" s="310"/>
      <c r="M33" s="311"/>
      <c r="N33" s="225"/>
    </row>
    <row r="34" spans="1:22" ht="12.9" customHeight="1" thickBot="1">
      <c r="A34" s="192"/>
      <c r="B34" s="314"/>
      <c r="C34" s="314"/>
      <c r="D34" s="314"/>
      <c r="E34" s="314"/>
      <c r="F34" s="314"/>
      <c r="G34" s="314"/>
      <c r="H34" s="314"/>
      <c r="I34" s="314"/>
      <c r="J34" s="314"/>
      <c r="K34" s="314"/>
      <c r="L34" s="314"/>
      <c r="M34" s="315"/>
      <c r="N34" s="225"/>
    </row>
    <row r="35" spans="1:22" ht="12.9" customHeight="1" thickTop="1" thickBot="1">
      <c r="A35" s="193" t="s">
        <v>210</v>
      </c>
      <c r="B35" s="316">
        <f>SUM(B10:B26)</f>
        <v>0</v>
      </c>
      <c r="C35" s="316">
        <f t="shared" ref="C35:L35" si="1">SUM(C10:C26)</f>
        <v>0</v>
      </c>
      <c r="D35" s="316">
        <f t="shared" si="1"/>
        <v>0</v>
      </c>
      <c r="E35" s="316">
        <f t="shared" si="1"/>
        <v>0</v>
      </c>
      <c r="F35" s="316">
        <f t="shared" si="1"/>
        <v>0</v>
      </c>
      <c r="G35" s="316">
        <f t="shared" si="1"/>
        <v>0</v>
      </c>
      <c r="H35" s="316">
        <f t="shared" si="1"/>
        <v>0</v>
      </c>
      <c r="I35" s="316">
        <f t="shared" si="1"/>
        <v>0</v>
      </c>
      <c r="J35" s="316">
        <f t="shared" si="1"/>
        <v>0</v>
      </c>
      <c r="K35" s="316">
        <f t="shared" si="1"/>
        <v>0</v>
      </c>
      <c r="L35" s="316">
        <f t="shared" si="1"/>
        <v>0</v>
      </c>
      <c r="M35" s="317">
        <f>C35+D35+E35+F35+G35+H35+I35+J35+K35+L35-I35-K35</f>
        <v>0</v>
      </c>
      <c r="N35" s="225"/>
    </row>
    <row r="36" spans="1:22" ht="12.9" customHeight="1">
      <c r="A36" s="17"/>
      <c r="B36" s="171"/>
      <c r="C36" s="171"/>
      <c r="D36" s="171"/>
      <c r="E36" s="171"/>
      <c r="F36" s="171"/>
      <c r="G36" s="171"/>
      <c r="H36" s="171"/>
      <c r="I36" s="171"/>
      <c r="J36" s="171"/>
      <c r="K36" s="171"/>
      <c r="L36" s="171"/>
      <c r="M36" s="226"/>
      <c r="N36" s="226" t="str">
        <f>IF(ISERROR(MATCH("x",N10:N35,0)),"","x")</f>
        <v/>
      </c>
    </row>
    <row r="37" spans="1:22" ht="12.9" customHeight="1">
      <c r="B37" s="225"/>
      <c r="C37" s="225"/>
      <c r="D37" s="225"/>
      <c r="E37" s="225"/>
      <c r="F37" s="225"/>
      <c r="G37" s="225"/>
      <c r="H37" s="225"/>
      <c r="I37" s="225"/>
      <c r="J37" s="225"/>
      <c r="K37" s="225"/>
      <c r="L37" s="225"/>
      <c r="N37" s="226" t="str">
        <f>IF(ISERROR(MATCH("x",B37:L37,0)),"","x")</f>
        <v/>
      </c>
    </row>
    <row r="38" spans="1:22" ht="12.9" customHeight="1">
      <c r="B38" s="147"/>
      <c r="C38" s="147"/>
      <c r="D38" s="147"/>
      <c r="E38" s="147"/>
      <c r="F38" s="147"/>
      <c r="G38" s="147"/>
      <c r="H38" s="147"/>
      <c r="I38" s="147"/>
      <c r="J38" s="147"/>
      <c r="K38" s="147"/>
      <c r="L38" s="147"/>
    </row>
    <row r="39" spans="1:22" ht="12.9" customHeight="1">
      <c r="B39" s="147"/>
      <c r="C39" s="147"/>
      <c r="D39" s="147"/>
      <c r="E39" s="147"/>
      <c r="F39" s="147"/>
      <c r="G39" s="147"/>
      <c r="H39" s="147"/>
      <c r="I39" s="147"/>
      <c r="J39" s="147"/>
      <c r="K39" s="147"/>
      <c r="L39" s="147"/>
    </row>
    <row r="40" spans="1:22" ht="12.9" customHeight="1">
      <c r="B40" s="147"/>
      <c r="C40" s="147"/>
      <c r="D40" s="147"/>
      <c r="E40" s="147"/>
      <c r="F40" s="147"/>
      <c r="G40" s="147"/>
      <c r="H40" s="147"/>
      <c r="I40" s="147"/>
      <c r="J40" s="147"/>
      <c r="K40" s="147"/>
      <c r="L40" s="147"/>
    </row>
    <row r="41" spans="1:22" ht="12.9" customHeight="1">
      <c r="A41" s="1"/>
    </row>
    <row r="42" spans="1:22" ht="12.9" customHeight="1">
      <c r="M42" s="219"/>
    </row>
    <row r="43" spans="1:22" ht="12.9" customHeight="1">
      <c r="A43" s="15" t="s">
        <v>1161</v>
      </c>
      <c r="B43" s="147" t="e">
        <f>(F6-C35)</f>
        <v>#N/A</v>
      </c>
      <c r="C43" s="610" t="e">
        <f>IF(F6-C35&lt;0,"Not Ok - You are over budget on expenditures.","")</f>
        <v>#N/A</v>
      </c>
      <c r="D43" s="611"/>
      <c r="E43" s="611"/>
      <c r="F43" s="574"/>
      <c r="M43" s="368" t="str">
        <f>IF(ISNUMBER(SEARCH("Not Ok",C43)), "X", "")</f>
        <v/>
      </c>
      <c r="N43" s="166"/>
      <c r="O43" s="166"/>
    </row>
    <row r="44" spans="1:22" ht="12.9" customHeight="1">
      <c r="B44" s="159"/>
      <c r="C44" s="601"/>
      <c r="D44" s="601"/>
      <c r="E44" s="601"/>
      <c r="F44" s="601"/>
      <c r="G44" s="601"/>
      <c r="H44" s="601"/>
      <c r="I44" s="601"/>
      <c r="J44" s="601"/>
      <c r="K44" s="601"/>
      <c r="L44" s="601"/>
      <c r="M44" s="368"/>
      <c r="N44" s="17"/>
      <c r="O44" s="17"/>
      <c r="P44" s="17"/>
      <c r="Q44" s="17"/>
      <c r="R44" s="17"/>
      <c r="S44" s="17"/>
      <c r="T44" s="17"/>
      <c r="U44" s="17"/>
      <c r="V44" s="17"/>
    </row>
    <row r="45" spans="1:22" ht="12.9" customHeight="1">
      <c r="B45" s="159"/>
      <c r="C45" s="601"/>
      <c r="D45" s="602"/>
      <c r="E45" s="602"/>
      <c r="F45" s="602"/>
      <c r="G45" s="602"/>
      <c r="H45" s="602"/>
      <c r="I45" s="602"/>
      <c r="M45" s="368"/>
    </row>
    <row r="46" spans="1:22" ht="12.9" customHeight="1">
      <c r="B46" s="159"/>
      <c r="C46" s="601"/>
      <c r="D46" s="601"/>
      <c r="E46" s="601"/>
      <c r="F46" s="601"/>
      <c r="G46" s="601"/>
      <c r="H46" s="601"/>
      <c r="I46" s="601"/>
      <c r="J46" s="601"/>
      <c r="K46" s="601"/>
      <c r="L46" s="601"/>
      <c r="M46" s="368"/>
      <c r="N46" s="17"/>
      <c r="O46" s="17"/>
      <c r="P46" s="17"/>
      <c r="Q46" s="17"/>
      <c r="R46" s="17"/>
      <c r="S46" s="17"/>
      <c r="T46" s="17"/>
      <c r="U46" s="17"/>
      <c r="V46" s="17"/>
    </row>
    <row r="47" spans="1:22" ht="12.9" customHeight="1">
      <c r="A47" s="15" t="s">
        <v>1165</v>
      </c>
      <c r="B47" s="147">
        <f>SUM(D35:E35)</f>
        <v>0</v>
      </c>
      <c r="C47" s="601" t="str">
        <f>IF(G5&lt;&gt;"x","",IF(B47&gt;=SUM(C35/9),"Ok - Minimum Match Met","Not Ok - Your Cash Match and/or In-Kind Match does not meet the Mimimum Match requirement."))</f>
        <v/>
      </c>
      <c r="D47" s="602"/>
      <c r="E47" s="602"/>
      <c r="F47" s="602"/>
      <c r="G47" s="602"/>
      <c r="H47" s="602"/>
      <c r="I47" s="602"/>
      <c r="M47" s="368" t="str">
        <f t="shared" ref="M47:M52" si="2">IF(ISNUMBER(SEARCH("Not Ok",C47)), "X", "")</f>
        <v/>
      </c>
    </row>
    <row r="48" spans="1:22" ht="12.9" customHeight="1">
      <c r="A48" s="15" t="s">
        <v>1166</v>
      </c>
      <c r="B48" s="147">
        <f>ROUNDUP((C35/9),0)</f>
        <v>0</v>
      </c>
      <c r="C48" s="15" t="s">
        <v>1167</v>
      </c>
      <c r="M48" s="368" t="str">
        <f t="shared" si="2"/>
        <v/>
      </c>
    </row>
    <row r="49" spans="1:18" ht="12.9" customHeight="1">
      <c r="B49" s="147"/>
      <c r="C49" s="600"/>
      <c r="D49" s="600"/>
      <c r="E49" s="600"/>
      <c r="F49" s="600"/>
      <c r="G49" s="600"/>
      <c r="H49" s="600"/>
      <c r="I49" s="600"/>
      <c r="M49" s="368" t="str">
        <f t="shared" si="2"/>
        <v/>
      </c>
    </row>
    <row r="50" spans="1:18" ht="12.9" customHeight="1">
      <c r="A50" s="15" t="str">
        <f>IF(B50="X","Program Income Carryover","")</f>
        <v/>
      </c>
      <c r="B50" s="227" t="str">
        <f>IF(AND(C35&gt;0,K35&gt;L35),"X","")</f>
        <v/>
      </c>
      <c r="C50" s="600" t="str">
        <f>IF(B50="x","Not Ok - You cannot claim against this contract until all prior year program income has been expended.","")</f>
        <v/>
      </c>
      <c r="D50" s="574"/>
      <c r="E50" s="574"/>
      <c r="F50" s="574"/>
      <c r="G50" s="574"/>
      <c r="H50" s="574"/>
      <c r="I50" s="574"/>
      <c r="J50" s="574"/>
      <c r="K50" s="574"/>
      <c r="M50" s="368" t="str">
        <f t="shared" si="2"/>
        <v/>
      </c>
      <c r="N50" s="146"/>
      <c r="O50" s="146"/>
      <c r="P50" s="146"/>
      <c r="Q50" s="146"/>
      <c r="R50" s="146"/>
    </row>
    <row r="51" spans="1:18" ht="12.9" customHeight="1">
      <c r="B51" s="227"/>
      <c r="C51" s="600"/>
      <c r="D51" s="574"/>
      <c r="E51" s="574"/>
      <c r="F51" s="574"/>
      <c r="G51" s="574"/>
      <c r="H51" s="574"/>
      <c r="I51" s="574"/>
      <c r="M51" s="368" t="str">
        <f t="shared" si="2"/>
        <v/>
      </c>
    </row>
    <row r="52" spans="1:18" ht="18">
      <c r="A52" s="15" t="str">
        <f>IF(B52="X","Current Year Program Income","")</f>
        <v/>
      </c>
      <c r="B52" s="227" t="str">
        <f>IF(G5&lt;&gt;"x","",IF(J35&gt;I35,"X",""))</f>
        <v/>
      </c>
      <c r="C52" s="600" t="str">
        <f>IF(B52="x","Not Ok - You cannot claim more in current year program income expended than has been received.","")</f>
        <v/>
      </c>
      <c r="D52" s="574"/>
      <c r="E52" s="574"/>
      <c r="F52" s="574"/>
      <c r="G52" s="574"/>
      <c r="H52" s="574"/>
      <c r="I52" s="574"/>
      <c r="J52" s="574"/>
      <c r="M52" s="368" t="str">
        <f t="shared" si="2"/>
        <v/>
      </c>
      <c r="N52" s="146"/>
    </row>
    <row r="53" spans="1:18">
      <c r="M53" s="62"/>
    </row>
    <row r="54" spans="1:18">
      <c r="M54" s="62"/>
    </row>
    <row r="55" spans="1:18">
      <c r="M55" s="62"/>
    </row>
  </sheetData>
  <sheetProtection password="C3C4" sheet="1" objects="1" scenarios="1"/>
  <customSheetViews>
    <customSheetView guid="{89953FCB-456A-4C2D-8912-B30825F750D3}" fitToPage="1">
      <selection activeCell="C34" sqref="C34"/>
      <pageMargins left="0" right="0" top="0" bottom="0" header="0" footer="0"/>
      <printOptions horizontalCentered="1"/>
      <pageSetup scale="81" orientation="landscape" r:id="rId1"/>
      <headerFooter alignWithMargins="0">
        <oddFooter>&amp;R&amp;8&amp;Z&amp;F</oddFooter>
      </headerFooter>
    </customSheetView>
  </customSheetViews>
  <mergeCells count="19">
    <mergeCell ref="A1:C1"/>
    <mergeCell ref="K1:L1"/>
    <mergeCell ref="K2:L2"/>
    <mergeCell ref="D4:F4"/>
    <mergeCell ref="B8:J8"/>
    <mergeCell ref="E3:F3"/>
    <mergeCell ref="E5:F5"/>
    <mergeCell ref="A7:L7"/>
    <mergeCell ref="K4:L4"/>
    <mergeCell ref="A2:B2"/>
    <mergeCell ref="C47:I47"/>
    <mergeCell ref="C51:I51"/>
    <mergeCell ref="C43:F43"/>
    <mergeCell ref="C44:L44"/>
    <mergeCell ref="C52:J52"/>
    <mergeCell ref="C45:I45"/>
    <mergeCell ref="C46:L46"/>
    <mergeCell ref="C49:I49"/>
    <mergeCell ref="C50:K50"/>
  </mergeCells>
  <phoneticPr fontId="4" type="noConversion"/>
  <conditionalFormatting sqref="B38:B39">
    <cfRule type="cellIs" dxfId="728" priority="146" stopIfTrue="1" operator="equal">
      <formula>"You cannot claim against this contract until all prior year program income has been expended."</formula>
    </cfRule>
  </conditionalFormatting>
  <conditionalFormatting sqref="M42">
    <cfRule type="cellIs" dxfId="727" priority="81" stopIfTrue="1" operator="equal">
      <formula>"You are over budget on expenditures."</formula>
    </cfRule>
  </conditionalFormatting>
  <conditionalFormatting sqref="M42">
    <cfRule type="containsText" dxfId="726" priority="80" operator="containsText" text="Not Ok">
      <formula>NOT(ISERROR(SEARCH("Not Ok",M42)))</formula>
    </cfRule>
  </conditionalFormatting>
  <conditionalFormatting sqref="O47:S47 O45:R46">
    <cfRule type="containsText" dxfId="725" priority="65" stopIfTrue="1" operator="containsText" text="Not Ok">
      <formula>NOT(ISERROR(SEARCH("Not Ok",O45)))</formula>
    </cfRule>
  </conditionalFormatting>
  <conditionalFormatting sqref="O43:V47">
    <cfRule type="containsText" dxfId="724" priority="63" operator="containsText" text="Not Ok">
      <formula>NOT(ISERROR(SEARCH("Not Ok",O43)))</formula>
    </cfRule>
  </conditionalFormatting>
  <conditionalFormatting sqref="N45:N47">
    <cfRule type="containsText" dxfId="723" priority="33" stopIfTrue="1" operator="containsText" text="Not Ok">
      <formula>NOT(ISERROR(SEARCH("Not Ok",N45)))</formula>
    </cfRule>
  </conditionalFormatting>
  <conditionalFormatting sqref="N43:N47">
    <cfRule type="containsText" dxfId="722" priority="32" operator="containsText" text="Not Ok">
      <formula>NOT(ISERROR(SEARCH("Not Ok",N43)))</formula>
    </cfRule>
  </conditionalFormatting>
  <conditionalFormatting sqref="M17:M18 M22">
    <cfRule type="containsText" dxfId="721" priority="20" operator="containsText" text="#">
      <formula>NOT(ISERROR(SEARCH("#",M17)))</formula>
    </cfRule>
  </conditionalFormatting>
  <conditionalFormatting sqref="B36:L36">
    <cfRule type="containsText" dxfId="720" priority="19" operator="containsText" text="Error">
      <formula>NOT(ISERROR(SEARCH("Error",B36)))</formula>
    </cfRule>
  </conditionalFormatting>
  <conditionalFormatting sqref="A36">
    <cfRule type="containsText" dxfId="719" priority="18" operator="containsText" text="Enter">
      <formula>NOT(ISERROR(SEARCH("Enter",A36)))</formula>
    </cfRule>
  </conditionalFormatting>
  <conditionalFormatting sqref="B50">
    <cfRule type="cellIs" dxfId="718" priority="12" stopIfTrue="1" operator="equal">
      <formula>"You cannot claim against this contract until all prior year program income has been expended."</formula>
    </cfRule>
  </conditionalFormatting>
  <conditionalFormatting sqref="A1">
    <cfRule type="containsText" dxfId="717" priority="8" operator="containsText" text="End">
      <formula>NOT(ISERROR(SEARCH("End",A1)))</formula>
    </cfRule>
  </conditionalFormatting>
  <conditionalFormatting sqref="A1">
    <cfRule type="containsText" dxfId="716" priority="7" operator="containsText" text="End">
      <formula>NOT(ISERROR(SEARCH("End",A1)))</formula>
    </cfRule>
  </conditionalFormatting>
  <conditionalFormatting sqref="A2:B2">
    <cfRule type="containsText" dxfId="715" priority="6" operator="containsText" text="Please">
      <formula>NOT(ISERROR(SEARCH("Please",A2)))</formula>
    </cfRule>
  </conditionalFormatting>
  <conditionalFormatting sqref="N1">
    <cfRule type="containsText" dxfId="714" priority="5" operator="containsText" text="End">
      <formula>NOT(ISERROR(SEARCH("End",N1)))</formula>
    </cfRule>
  </conditionalFormatting>
  <conditionalFormatting sqref="N1">
    <cfRule type="containsText" dxfId="713" priority="4" operator="containsText" text="End">
      <formula>NOT(ISERROR(SEARCH("End",N1)))</formula>
    </cfRule>
  </conditionalFormatting>
  <conditionalFormatting sqref="N2">
    <cfRule type="containsText" dxfId="712" priority="3" operator="containsText" text="Please">
      <formula>NOT(ISERROR(SEARCH("Please",N2)))</formula>
    </cfRule>
  </conditionalFormatting>
  <conditionalFormatting sqref="C43:L49 C51:L51 C50:I50 L50 C52:I52 K52:L52">
    <cfRule type="containsText" dxfId="711" priority="2" operator="containsText" text="Not Ok">
      <formula>NOT(ISERROR(SEARCH("Not Ok",C43)))</formula>
    </cfRule>
  </conditionalFormatting>
  <conditionalFormatting sqref="B52">
    <cfRule type="cellIs" dxfId="710" priority="1" stopIfTrue="1" operator="equal">
      <formula>"You cannot claim against this contract until all prior year program income has been expended."</formula>
    </cfRule>
  </conditionalFormatting>
  <dataValidations count="1">
    <dataValidation type="whole" allowBlank="1" showInputMessage="1" showErrorMessage="1" errorTitle="Whole Number Validation" error="You must enter all dollars as whole numbers - no decimals (cents) or spaces." sqref="B17:L22" xr:uid="{C7AE0966-B9A8-4D38-9FAF-6CA3C41097E5}">
      <formula1>-100000000</formula1>
      <formula2>100000000</formula2>
    </dataValidation>
  </dataValidations>
  <printOptions horizontalCentered="1"/>
  <pageMargins left="0.25" right="0.25" top="0.25" bottom="0.25" header="0" footer="0"/>
  <pageSetup scale="73" orientation="landscape" r:id="rId2"/>
  <headerFooter alignWithMargins="0">
    <oddFooter>&amp;R&amp;8&amp;Z&amp;F</oddFooter>
  </headerFooter>
  <ignoredErrors>
    <ignoredError sqref="D4"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3"/>
    <pageSetUpPr fitToPage="1"/>
  </sheetPr>
  <dimension ref="A1:V52"/>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ColWidth="9.109375" defaultRowHeight="13.2"/>
  <cols>
    <col min="1" max="1" width="31.109375" style="15" bestFit="1" customWidth="1"/>
    <col min="2" max="12" width="12.6640625" style="15" customWidth="1"/>
    <col min="13" max="13" width="14.33203125" style="15" customWidth="1"/>
    <col min="14" max="16384" width="9.109375" style="15"/>
  </cols>
  <sheetData>
    <row r="1" spans="1:14" ht="15" customHeight="1">
      <c r="A1" s="601" t="str">
        <f>IF(N1="x","End of Year approaching, please address errors listed below.","")</f>
        <v/>
      </c>
      <c r="B1" s="601"/>
      <c r="C1" s="601"/>
      <c r="F1" s="156"/>
      <c r="K1" s="604" t="s">
        <v>1198</v>
      </c>
      <c r="L1" s="572"/>
      <c r="N1" s="167" t="str">
        <f>IF(AND(G5="x",OR(M43="x",M44="x",M45="x",M46="x",M47="x",M50="x",M51="x",M52="x")),"x","")</f>
        <v/>
      </c>
    </row>
    <row r="2" spans="1:14" ht="15" customHeight="1">
      <c r="A2" s="601" t="str">
        <f>IF(N2="x","Please address the errors listed below.","")</f>
        <v/>
      </c>
      <c r="B2" s="574"/>
      <c r="F2" s="156" t="s">
        <v>1121</v>
      </c>
      <c r="K2" s="603" t="s">
        <v>1199</v>
      </c>
      <c r="L2" s="572"/>
      <c r="N2" s="167" t="str">
        <f>IF(G5="x","",IF(OR(M50="x",M51="x",M43="x"),"x",""))</f>
        <v/>
      </c>
    </row>
    <row r="3" spans="1:14" ht="15" customHeight="1">
      <c r="A3" s="17" t="s">
        <v>1123</v>
      </c>
      <c r="E3" s="608" t="str">
        <f>'III-B - #11619'!E3:F3</f>
        <v>Menominee Tribe</v>
      </c>
      <c r="F3" s="608"/>
      <c r="K3" s="603" t="s">
        <v>1200</v>
      </c>
      <c r="L3" s="603"/>
      <c r="N3" s="62"/>
    </row>
    <row r="4" spans="1:14" ht="15" customHeight="1">
      <c r="A4" s="17" t="s">
        <v>1125</v>
      </c>
      <c r="D4" s="608" t="e">
        <f>LOOKUP(E5,Date,'Addl Info'!B21:B33)</f>
        <v>#N/A</v>
      </c>
      <c r="E4" s="609"/>
      <c r="F4" s="609"/>
      <c r="K4" s="603" t="s">
        <v>1201</v>
      </c>
      <c r="L4" s="603"/>
    </row>
    <row r="5" spans="1:14" ht="15" customHeight="1">
      <c r="A5" s="17" t="s">
        <v>1126</v>
      </c>
      <c r="E5" s="608" t="str">
        <f>'III-B - #11619'!E5:F5</f>
        <v/>
      </c>
      <c r="F5" s="608"/>
      <c r="G5" s="62" t="str">
        <f>IF(OR(E5="October 2019",E5="November 2019",E5="December 2019",E5="Final Submission 2019"),"x","")</f>
        <v/>
      </c>
    </row>
    <row r="6" spans="1:14" ht="15" customHeight="1">
      <c r="A6" s="17" t="s">
        <v>1127</v>
      </c>
      <c r="F6" s="16" t="e">
        <f>IF(D4="Non-Submission Period",0,LOOKUP(E3,CAUTAU,Allocations!F4:F92))</f>
        <v>#N/A</v>
      </c>
    </row>
    <row r="7" spans="1:14" ht="15" customHeight="1">
      <c r="A7" s="606"/>
      <c r="B7" s="607"/>
      <c r="C7" s="607"/>
      <c r="D7" s="607"/>
      <c r="E7" s="607"/>
      <c r="F7" s="607"/>
      <c r="G7" s="607"/>
      <c r="H7" s="607"/>
      <c r="I7" s="607"/>
      <c r="J7" s="607"/>
      <c r="K7" s="607"/>
      <c r="L7" s="607"/>
    </row>
    <row r="8" spans="1:14" s="2" customFormat="1" ht="15" customHeight="1" thickBot="1">
      <c r="A8" s="1"/>
      <c r="B8" s="605" t="s">
        <v>1511</v>
      </c>
      <c r="C8" s="605"/>
      <c r="D8" s="605"/>
      <c r="E8" s="605"/>
      <c r="F8" s="605"/>
      <c r="G8" s="605"/>
      <c r="H8" s="605"/>
      <c r="I8" s="605"/>
      <c r="J8" s="605"/>
    </row>
    <row r="9" spans="1:14" ht="77.099999999999994" customHeight="1">
      <c r="A9" s="187" t="s">
        <v>1128</v>
      </c>
      <c r="B9" s="188" t="s">
        <v>1202</v>
      </c>
      <c r="C9" s="189" t="s">
        <v>1203</v>
      </c>
      <c r="D9" s="188" t="s">
        <v>1131</v>
      </c>
      <c r="E9" s="188" t="s">
        <v>1132</v>
      </c>
      <c r="F9" s="188" t="s">
        <v>1133</v>
      </c>
      <c r="G9" s="188" t="s">
        <v>1134</v>
      </c>
      <c r="H9" s="188" t="s">
        <v>1135</v>
      </c>
      <c r="I9" s="188" t="s">
        <v>321</v>
      </c>
      <c r="J9" s="188" t="s">
        <v>325</v>
      </c>
      <c r="K9" s="188" t="s">
        <v>1136</v>
      </c>
      <c r="L9" s="190" t="s">
        <v>1137</v>
      </c>
      <c r="M9" s="154" t="s">
        <v>331</v>
      </c>
    </row>
    <row r="10" spans="1:14" ht="12.9" customHeight="1">
      <c r="A10" s="181" t="s">
        <v>1138</v>
      </c>
      <c r="B10" s="309"/>
      <c r="C10" s="309"/>
      <c r="D10" s="309"/>
      <c r="E10" s="309"/>
      <c r="F10" s="309"/>
      <c r="G10" s="309"/>
      <c r="H10" s="309"/>
      <c r="I10" s="309"/>
      <c r="J10" s="309"/>
      <c r="K10" s="309"/>
      <c r="L10" s="310"/>
      <c r="M10" s="311"/>
      <c r="N10" s="225"/>
    </row>
    <row r="11" spans="1:14" ht="12.9" customHeight="1">
      <c r="A11" s="181" t="s">
        <v>1139</v>
      </c>
      <c r="B11" s="309"/>
      <c r="C11" s="309"/>
      <c r="D11" s="309"/>
      <c r="E11" s="309"/>
      <c r="F11" s="309"/>
      <c r="G11" s="309"/>
      <c r="H11" s="309"/>
      <c r="I11" s="309"/>
      <c r="J11" s="309"/>
      <c r="K11" s="309"/>
      <c r="L11" s="310"/>
      <c r="M11" s="311"/>
      <c r="N11" s="225"/>
    </row>
    <row r="12" spans="1:14" ht="12.9" customHeight="1">
      <c r="A12" s="181" t="s">
        <v>1140</v>
      </c>
      <c r="B12" s="309"/>
      <c r="C12" s="309"/>
      <c r="D12" s="309"/>
      <c r="E12" s="309"/>
      <c r="F12" s="309"/>
      <c r="G12" s="309"/>
      <c r="H12" s="309"/>
      <c r="I12" s="309"/>
      <c r="J12" s="309"/>
      <c r="K12" s="309"/>
      <c r="L12" s="310"/>
      <c r="M12" s="311"/>
      <c r="N12" s="225"/>
    </row>
    <row r="13" spans="1:14" ht="12.9" customHeight="1">
      <c r="A13" s="181" t="s">
        <v>1141</v>
      </c>
      <c r="B13" s="309"/>
      <c r="C13" s="309"/>
      <c r="D13" s="309"/>
      <c r="E13" s="309"/>
      <c r="F13" s="309"/>
      <c r="G13" s="309"/>
      <c r="H13" s="309"/>
      <c r="I13" s="309"/>
      <c r="J13" s="309"/>
      <c r="K13" s="309"/>
      <c r="L13" s="310"/>
      <c r="M13" s="311"/>
      <c r="N13" s="225"/>
    </row>
    <row r="14" spans="1:14" ht="12.9" customHeight="1">
      <c r="A14" s="181" t="s">
        <v>1142</v>
      </c>
      <c r="B14" s="306"/>
      <c r="C14" s="306"/>
      <c r="D14" s="306"/>
      <c r="E14" s="306"/>
      <c r="F14" s="306"/>
      <c r="G14" s="306"/>
      <c r="H14" s="306"/>
      <c r="I14" s="306"/>
      <c r="J14" s="306"/>
      <c r="K14" s="306"/>
      <c r="L14" s="307"/>
      <c r="M14" s="308">
        <f t="shared" ref="M14:M22" si="0">C14+D14+E14+F14+G14+H14+I14+J14+K14+L14-K14-I14</f>
        <v>0</v>
      </c>
      <c r="N14" s="225"/>
    </row>
    <row r="15" spans="1:14" ht="12.9" customHeight="1">
      <c r="A15" s="181" t="s">
        <v>1143</v>
      </c>
      <c r="B15" s="309"/>
      <c r="C15" s="309"/>
      <c r="D15" s="309"/>
      <c r="E15" s="309"/>
      <c r="F15" s="309"/>
      <c r="G15" s="309"/>
      <c r="H15" s="309"/>
      <c r="I15" s="309"/>
      <c r="J15" s="309"/>
      <c r="K15" s="309"/>
      <c r="L15" s="310"/>
      <c r="M15" s="311"/>
      <c r="N15" s="225"/>
    </row>
    <row r="16" spans="1:14" ht="12.9" customHeight="1">
      <c r="A16" s="181" t="s">
        <v>1144</v>
      </c>
      <c r="B16" s="309"/>
      <c r="C16" s="309"/>
      <c r="D16" s="309"/>
      <c r="E16" s="309"/>
      <c r="F16" s="309"/>
      <c r="G16" s="309"/>
      <c r="H16" s="309"/>
      <c r="I16" s="309"/>
      <c r="J16" s="309"/>
      <c r="K16" s="309"/>
      <c r="L16" s="310"/>
      <c r="M16" s="311"/>
      <c r="N16" s="225"/>
    </row>
    <row r="17" spans="1:14" ht="12.9" customHeight="1">
      <c r="A17" s="181" t="s">
        <v>1145</v>
      </c>
      <c r="B17" s="309"/>
      <c r="C17" s="309"/>
      <c r="D17" s="309"/>
      <c r="E17" s="309"/>
      <c r="F17" s="309"/>
      <c r="G17" s="309"/>
      <c r="H17" s="309"/>
      <c r="I17" s="309"/>
      <c r="J17" s="309"/>
      <c r="K17" s="309"/>
      <c r="L17" s="310"/>
      <c r="M17" s="311"/>
      <c r="N17" s="225"/>
    </row>
    <row r="18" spans="1:14" ht="12.9" customHeight="1">
      <c r="A18" s="181" t="s">
        <v>1146</v>
      </c>
      <c r="B18" s="306"/>
      <c r="C18" s="306"/>
      <c r="D18" s="306"/>
      <c r="E18" s="306"/>
      <c r="F18" s="306"/>
      <c r="G18" s="306"/>
      <c r="H18" s="306"/>
      <c r="I18" s="306"/>
      <c r="J18" s="306"/>
      <c r="K18" s="306"/>
      <c r="L18" s="307"/>
      <c r="M18" s="308">
        <f t="shared" si="0"/>
        <v>0</v>
      </c>
      <c r="N18" s="225"/>
    </row>
    <row r="19" spans="1:14" ht="12.9" customHeight="1">
      <c r="A19" s="181" t="s">
        <v>1194</v>
      </c>
      <c r="B19" s="309"/>
      <c r="C19" s="309"/>
      <c r="D19" s="309"/>
      <c r="E19" s="309"/>
      <c r="F19" s="309"/>
      <c r="G19" s="309"/>
      <c r="H19" s="309"/>
      <c r="I19" s="309"/>
      <c r="J19" s="309"/>
      <c r="K19" s="309"/>
      <c r="L19" s="310"/>
      <c r="M19" s="311"/>
      <c r="N19" s="225"/>
    </row>
    <row r="20" spans="1:14" ht="12.9" customHeight="1">
      <c r="A20" s="181" t="s">
        <v>1195</v>
      </c>
      <c r="B20" s="309"/>
      <c r="C20" s="309"/>
      <c r="D20" s="309"/>
      <c r="E20" s="309"/>
      <c r="F20" s="309"/>
      <c r="G20" s="309"/>
      <c r="H20" s="309"/>
      <c r="I20" s="309"/>
      <c r="J20" s="309"/>
      <c r="K20" s="309"/>
      <c r="L20" s="310"/>
      <c r="M20" s="311"/>
      <c r="N20" s="225"/>
    </row>
    <row r="21" spans="1:14" ht="12.9" customHeight="1">
      <c r="A21" s="181" t="s">
        <v>1149</v>
      </c>
      <c r="B21" s="309"/>
      <c r="C21" s="309"/>
      <c r="D21" s="309"/>
      <c r="E21" s="309"/>
      <c r="F21" s="309"/>
      <c r="G21" s="309"/>
      <c r="H21" s="309"/>
      <c r="I21" s="309"/>
      <c r="J21" s="309"/>
      <c r="K21" s="309"/>
      <c r="L21" s="310"/>
      <c r="M21" s="311"/>
      <c r="N21" s="225"/>
    </row>
    <row r="22" spans="1:14" ht="12.9" customHeight="1">
      <c r="A22" s="181" t="s">
        <v>1150</v>
      </c>
      <c r="B22" s="306"/>
      <c r="C22" s="306"/>
      <c r="D22" s="306"/>
      <c r="E22" s="306"/>
      <c r="F22" s="306"/>
      <c r="G22" s="306"/>
      <c r="H22" s="306"/>
      <c r="I22" s="306"/>
      <c r="J22" s="306"/>
      <c r="K22" s="306"/>
      <c r="L22" s="307"/>
      <c r="M22" s="308">
        <f t="shared" si="0"/>
        <v>0</v>
      </c>
      <c r="N22" s="225"/>
    </row>
    <row r="23" spans="1:14" ht="12.9" customHeight="1">
      <c r="A23" s="181" t="s">
        <v>1151</v>
      </c>
      <c r="B23" s="309"/>
      <c r="C23" s="309"/>
      <c r="D23" s="309"/>
      <c r="E23" s="309"/>
      <c r="F23" s="309"/>
      <c r="G23" s="309"/>
      <c r="H23" s="309"/>
      <c r="I23" s="309"/>
      <c r="J23" s="309"/>
      <c r="K23" s="309"/>
      <c r="L23" s="310"/>
      <c r="M23" s="311"/>
      <c r="N23" s="225"/>
    </row>
    <row r="24" spans="1:14" ht="12.9" customHeight="1">
      <c r="A24" s="181" t="s">
        <v>1152</v>
      </c>
      <c r="B24" s="309"/>
      <c r="C24" s="309"/>
      <c r="D24" s="309"/>
      <c r="E24" s="309"/>
      <c r="F24" s="309"/>
      <c r="G24" s="309"/>
      <c r="H24" s="309"/>
      <c r="I24" s="309"/>
      <c r="J24" s="309"/>
      <c r="K24" s="309"/>
      <c r="L24" s="310"/>
      <c r="M24" s="311"/>
      <c r="N24" s="225"/>
    </row>
    <row r="25" spans="1:14" ht="12.9" customHeight="1">
      <c r="A25" s="191" t="s">
        <v>1196</v>
      </c>
      <c r="B25" s="309"/>
      <c r="C25" s="309"/>
      <c r="D25" s="309"/>
      <c r="E25" s="309"/>
      <c r="F25" s="309"/>
      <c r="G25" s="309"/>
      <c r="H25" s="309"/>
      <c r="I25" s="309"/>
      <c r="J25" s="309"/>
      <c r="K25" s="309"/>
      <c r="L25" s="310"/>
      <c r="M25" s="311"/>
      <c r="N25" s="225"/>
    </row>
    <row r="26" spans="1:14" ht="12.9" customHeight="1">
      <c r="A26" s="181" t="s">
        <v>1197</v>
      </c>
      <c r="B26" s="309"/>
      <c r="C26" s="309"/>
      <c r="D26" s="309"/>
      <c r="E26" s="309"/>
      <c r="F26" s="309"/>
      <c r="G26" s="309"/>
      <c r="H26" s="309"/>
      <c r="I26" s="309"/>
      <c r="J26" s="309"/>
      <c r="K26" s="309"/>
      <c r="L26" s="310"/>
      <c r="M26" s="311"/>
      <c r="N26" s="225"/>
    </row>
    <row r="27" spans="1:14" ht="12.9" customHeight="1">
      <c r="A27" s="181"/>
      <c r="B27" s="309"/>
      <c r="C27" s="309"/>
      <c r="D27" s="309"/>
      <c r="E27" s="309"/>
      <c r="F27" s="309"/>
      <c r="G27" s="309"/>
      <c r="H27" s="309"/>
      <c r="I27" s="309"/>
      <c r="J27" s="309"/>
      <c r="K27" s="309"/>
      <c r="L27" s="310"/>
      <c r="M27" s="311"/>
      <c r="N27" s="225"/>
    </row>
    <row r="28" spans="1:14" ht="12.9" customHeight="1">
      <c r="A28" s="181"/>
      <c r="B28" s="309"/>
      <c r="C28" s="309"/>
      <c r="D28" s="309"/>
      <c r="E28" s="309"/>
      <c r="F28" s="309"/>
      <c r="G28" s="309"/>
      <c r="H28" s="309"/>
      <c r="I28" s="309"/>
      <c r="J28" s="309"/>
      <c r="K28" s="309"/>
      <c r="L28" s="310"/>
      <c r="M28" s="311"/>
      <c r="N28" s="225"/>
    </row>
    <row r="29" spans="1:14" ht="12.9" customHeight="1">
      <c r="A29" s="181"/>
      <c r="B29" s="309"/>
      <c r="C29" s="309"/>
      <c r="D29" s="309"/>
      <c r="E29" s="309"/>
      <c r="F29" s="309"/>
      <c r="G29" s="309"/>
      <c r="H29" s="309"/>
      <c r="I29" s="309"/>
      <c r="J29" s="309"/>
      <c r="K29" s="309"/>
      <c r="L29" s="310"/>
      <c r="M29" s="311"/>
      <c r="N29" s="225"/>
    </row>
    <row r="30" spans="1:14" ht="12.9" customHeight="1">
      <c r="A30" s="181"/>
      <c r="B30" s="309"/>
      <c r="C30" s="309"/>
      <c r="D30" s="309"/>
      <c r="E30" s="309"/>
      <c r="F30" s="309"/>
      <c r="G30" s="309"/>
      <c r="H30" s="309"/>
      <c r="I30" s="309"/>
      <c r="J30" s="309"/>
      <c r="K30" s="309"/>
      <c r="L30" s="310"/>
      <c r="M30" s="311"/>
      <c r="N30" s="225"/>
    </row>
    <row r="31" spans="1:14" ht="12.9" customHeight="1">
      <c r="A31" s="181"/>
      <c r="B31" s="309"/>
      <c r="C31" s="309"/>
      <c r="D31" s="309"/>
      <c r="E31" s="309"/>
      <c r="F31" s="309"/>
      <c r="G31" s="309"/>
      <c r="H31" s="309"/>
      <c r="I31" s="309"/>
      <c r="J31" s="309"/>
      <c r="K31" s="309"/>
      <c r="L31" s="310"/>
      <c r="M31" s="311"/>
      <c r="N31" s="225"/>
    </row>
    <row r="32" spans="1:14" ht="12.9" customHeight="1">
      <c r="A32" s="181"/>
      <c r="B32" s="309"/>
      <c r="C32" s="309"/>
      <c r="D32" s="309"/>
      <c r="E32" s="309"/>
      <c r="F32" s="309"/>
      <c r="G32" s="309"/>
      <c r="H32" s="309"/>
      <c r="I32" s="309"/>
      <c r="J32" s="309"/>
      <c r="K32" s="309"/>
      <c r="L32" s="310"/>
      <c r="M32" s="311"/>
      <c r="N32" s="225"/>
    </row>
    <row r="33" spans="1:22" ht="12.9" customHeight="1">
      <c r="A33" s="181"/>
      <c r="B33" s="309"/>
      <c r="C33" s="309"/>
      <c r="D33" s="309"/>
      <c r="E33" s="309"/>
      <c r="F33" s="309"/>
      <c r="G33" s="309"/>
      <c r="H33" s="309"/>
      <c r="I33" s="309"/>
      <c r="J33" s="309"/>
      <c r="K33" s="309"/>
      <c r="L33" s="310"/>
      <c r="M33" s="311"/>
      <c r="N33" s="225"/>
    </row>
    <row r="34" spans="1:22" ht="12.9" customHeight="1" thickBot="1">
      <c r="A34" s="192"/>
      <c r="B34" s="314"/>
      <c r="C34" s="314"/>
      <c r="D34" s="314"/>
      <c r="E34" s="314"/>
      <c r="F34" s="314"/>
      <c r="G34" s="314"/>
      <c r="H34" s="314"/>
      <c r="I34" s="314"/>
      <c r="J34" s="314"/>
      <c r="K34" s="314"/>
      <c r="L34" s="314"/>
      <c r="M34" s="315"/>
      <c r="N34" s="225"/>
    </row>
    <row r="35" spans="1:22" ht="12.9" customHeight="1" thickTop="1" thickBot="1">
      <c r="A35" s="193" t="s">
        <v>210</v>
      </c>
      <c r="B35" s="316">
        <f>SUM(B10:B34)</f>
        <v>0</v>
      </c>
      <c r="C35" s="316">
        <f t="shared" ref="C35:L35" si="1">SUM(C10:C34)</f>
        <v>0</v>
      </c>
      <c r="D35" s="316">
        <f t="shared" si="1"/>
        <v>0</v>
      </c>
      <c r="E35" s="316">
        <f t="shared" si="1"/>
        <v>0</v>
      </c>
      <c r="F35" s="316">
        <f t="shared" si="1"/>
        <v>0</v>
      </c>
      <c r="G35" s="316">
        <f t="shared" si="1"/>
        <v>0</v>
      </c>
      <c r="H35" s="316">
        <f t="shared" si="1"/>
        <v>0</v>
      </c>
      <c r="I35" s="316">
        <f t="shared" si="1"/>
        <v>0</v>
      </c>
      <c r="J35" s="316">
        <f t="shared" si="1"/>
        <v>0</v>
      </c>
      <c r="K35" s="316">
        <f t="shared" si="1"/>
        <v>0</v>
      </c>
      <c r="L35" s="316">
        <f t="shared" si="1"/>
        <v>0</v>
      </c>
      <c r="M35" s="317">
        <f>C35+D35+E35+F35+G35+H35+I35+J35+K35+L35-I35-K35</f>
        <v>0</v>
      </c>
      <c r="N35" s="225"/>
    </row>
    <row r="36" spans="1:22" ht="12.9" customHeight="1">
      <c r="A36" s="17"/>
      <c r="B36" s="171"/>
      <c r="C36" s="171"/>
      <c r="D36" s="171"/>
      <c r="E36" s="171"/>
      <c r="F36" s="171"/>
      <c r="G36" s="171"/>
      <c r="H36" s="171"/>
      <c r="I36" s="171"/>
      <c r="J36" s="171"/>
      <c r="K36" s="171"/>
      <c r="L36" s="171"/>
      <c r="M36" s="226"/>
      <c r="N36" s="226"/>
    </row>
    <row r="37" spans="1:22" ht="12.9" customHeight="1">
      <c r="B37" s="225"/>
      <c r="C37" s="225"/>
      <c r="D37" s="225"/>
      <c r="E37" s="225"/>
      <c r="F37" s="225"/>
      <c r="G37" s="225"/>
      <c r="H37" s="225"/>
      <c r="I37" s="225"/>
      <c r="J37" s="225"/>
      <c r="K37" s="225"/>
      <c r="L37" s="225"/>
      <c r="N37" s="226"/>
    </row>
    <row r="38" spans="1:22" ht="12.9" customHeight="1">
      <c r="B38" s="147"/>
      <c r="C38" s="147"/>
      <c r="D38" s="147"/>
      <c r="E38" s="147"/>
      <c r="F38" s="147"/>
      <c r="G38" s="147"/>
      <c r="H38" s="147"/>
      <c r="I38" s="147"/>
      <c r="J38" s="147"/>
      <c r="K38" s="147"/>
      <c r="L38" s="147"/>
    </row>
    <row r="39" spans="1:22" ht="12.9" customHeight="1">
      <c r="B39" s="147"/>
      <c r="C39" s="147"/>
      <c r="D39" s="147"/>
      <c r="E39" s="147"/>
      <c r="F39" s="147"/>
      <c r="G39" s="147"/>
      <c r="H39" s="147"/>
      <c r="I39" s="147"/>
      <c r="J39" s="147"/>
      <c r="K39" s="147"/>
      <c r="L39" s="147"/>
    </row>
    <row r="40" spans="1:22" ht="12.9" customHeight="1">
      <c r="B40" s="147"/>
      <c r="C40" s="147"/>
      <c r="D40" s="147"/>
      <c r="E40" s="147"/>
      <c r="F40" s="147"/>
      <c r="G40" s="147"/>
      <c r="H40" s="147"/>
      <c r="I40" s="147"/>
      <c r="J40" s="147"/>
      <c r="K40" s="147"/>
      <c r="L40" s="147"/>
    </row>
    <row r="41" spans="1:22" ht="12.9" customHeight="1">
      <c r="A41" s="1"/>
    </row>
    <row r="42" spans="1:22" ht="12.9" customHeight="1">
      <c r="M42" s="219"/>
    </row>
    <row r="43" spans="1:22" ht="12.9" customHeight="1">
      <c r="A43" s="15" t="s">
        <v>1161</v>
      </c>
      <c r="B43" s="147" t="e">
        <f>(F6-C35)</f>
        <v>#N/A</v>
      </c>
      <c r="C43" s="610" t="e">
        <f>IF(F6-C35&lt;0,"Not Ok - You are over budget on expenditures.","")</f>
        <v>#N/A</v>
      </c>
      <c r="D43" s="611"/>
      <c r="E43" s="611"/>
      <c r="F43" s="574"/>
      <c r="M43" s="368" t="str">
        <f>IF(ISNUMBER(SEARCH("Not Ok",C43)), "X", "")</f>
        <v/>
      </c>
      <c r="N43" s="166"/>
      <c r="O43" s="166"/>
    </row>
    <row r="44" spans="1:22" ht="12.9" customHeight="1">
      <c r="B44" s="159"/>
      <c r="C44" s="601"/>
      <c r="D44" s="601"/>
      <c r="E44" s="601"/>
      <c r="F44" s="601"/>
      <c r="G44" s="601"/>
      <c r="H44" s="601"/>
      <c r="I44" s="601"/>
      <c r="J44" s="601"/>
      <c r="K44" s="601"/>
      <c r="L44" s="601"/>
      <c r="M44" s="368"/>
      <c r="N44" s="17"/>
      <c r="O44" s="17"/>
      <c r="P44" s="17"/>
      <c r="Q44" s="17"/>
      <c r="R44" s="17"/>
      <c r="S44" s="17"/>
      <c r="T44" s="17"/>
      <c r="U44" s="17"/>
      <c r="V44" s="17"/>
    </row>
    <row r="45" spans="1:22" ht="12.9" customHeight="1">
      <c r="B45" s="159"/>
      <c r="C45" s="601"/>
      <c r="D45" s="602"/>
      <c r="E45" s="602"/>
      <c r="F45" s="602"/>
      <c r="G45" s="602"/>
      <c r="H45" s="602"/>
      <c r="I45" s="602"/>
      <c r="M45" s="368"/>
    </row>
    <row r="46" spans="1:22" ht="12.9" customHeight="1">
      <c r="B46" s="159"/>
      <c r="C46" s="601"/>
      <c r="D46" s="601"/>
      <c r="E46" s="601"/>
      <c r="F46" s="601"/>
      <c r="G46" s="601"/>
      <c r="H46" s="601"/>
      <c r="I46" s="601"/>
      <c r="J46" s="601"/>
      <c r="K46" s="601"/>
      <c r="L46" s="601"/>
      <c r="M46" s="368"/>
      <c r="N46" s="17"/>
      <c r="O46" s="17"/>
      <c r="P46" s="17"/>
      <c r="Q46" s="17"/>
      <c r="R46" s="17"/>
      <c r="S46" s="17"/>
      <c r="T46" s="17"/>
      <c r="U46" s="17"/>
      <c r="V46" s="17"/>
    </row>
    <row r="47" spans="1:22" ht="12.9" customHeight="1">
      <c r="A47" s="15" t="s">
        <v>1165</v>
      </c>
      <c r="B47" s="147">
        <f>SUM(D35:E35)</f>
        <v>0</v>
      </c>
      <c r="C47" s="601" t="str">
        <f>IF(G5&lt;&gt;"x","",IF(B47&gt;=SUM(C35/9),"Ok - Minimum Match Met","Not Ok - Your Cash Match and/or In-Kind Match does not meet the Mimimum Match requirement."))</f>
        <v/>
      </c>
      <c r="D47" s="602"/>
      <c r="E47" s="602"/>
      <c r="F47" s="602"/>
      <c r="G47" s="602"/>
      <c r="H47" s="602"/>
      <c r="I47" s="602"/>
      <c r="M47" s="368" t="str">
        <f t="shared" ref="M47:M52" si="2">IF(ISNUMBER(SEARCH("Not Ok",C47)), "X", "")</f>
        <v/>
      </c>
    </row>
    <row r="48" spans="1:22" ht="12.9" customHeight="1">
      <c r="A48" s="15" t="s">
        <v>1166</v>
      </c>
      <c r="B48" s="147">
        <f>ROUNDUP((C35/9),0)</f>
        <v>0</v>
      </c>
      <c r="C48" s="15" t="s">
        <v>1167</v>
      </c>
      <c r="M48" s="368" t="str">
        <f t="shared" si="2"/>
        <v/>
      </c>
    </row>
    <row r="49" spans="1:18" ht="12.9" customHeight="1">
      <c r="B49" s="147"/>
      <c r="C49" s="600"/>
      <c r="D49" s="600"/>
      <c r="E49" s="600"/>
      <c r="F49" s="600"/>
      <c r="G49" s="600"/>
      <c r="H49" s="600"/>
      <c r="I49" s="600"/>
      <c r="M49" s="368" t="str">
        <f t="shared" si="2"/>
        <v/>
      </c>
    </row>
    <row r="50" spans="1:18" ht="12.9" customHeight="1">
      <c r="A50" s="15" t="str">
        <f>IF(B50="X","Program Income Carryover","")</f>
        <v/>
      </c>
      <c r="B50" s="227" t="str">
        <f>IF(AND(C35&gt;0,K35&gt;L35),"X","")</f>
        <v/>
      </c>
      <c r="C50" s="600" t="str">
        <f>IF(B50="x","Not Ok - You cannot claim against this contract until all prior year program income has been expended.","")</f>
        <v/>
      </c>
      <c r="D50" s="574"/>
      <c r="E50" s="574"/>
      <c r="F50" s="574"/>
      <c r="G50" s="574"/>
      <c r="H50" s="574"/>
      <c r="I50" s="574"/>
      <c r="J50" s="574"/>
      <c r="K50" s="574"/>
      <c r="M50" s="368" t="str">
        <f t="shared" si="2"/>
        <v/>
      </c>
      <c r="N50" s="146"/>
      <c r="O50" s="146"/>
      <c r="P50" s="146"/>
      <c r="Q50" s="146"/>
      <c r="R50" s="146"/>
    </row>
    <row r="51" spans="1:18" ht="12.9" customHeight="1">
      <c r="B51" s="227"/>
      <c r="C51" s="600"/>
      <c r="D51" s="574"/>
      <c r="E51" s="574"/>
      <c r="F51" s="574"/>
      <c r="G51" s="574"/>
      <c r="H51" s="574"/>
      <c r="I51" s="574"/>
      <c r="M51" s="368" t="str">
        <f t="shared" si="2"/>
        <v/>
      </c>
    </row>
    <row r="52" spans="1:18" ht="18">
      <c r="A52" s="15" t="str">
        <f>IF(B52="X","Current Year Program Income","")</f>
        <v/>
      </c>
      <c r="B52" s="227" t="str">
        <f>IF(G5&lt;&gt;"x","",IF(J35&gt;I35,"X",""))</f>
        <v/>
      </c>
      <c r="C52" s="600" t="str">
        <f>IF(B52="x","Not Ok - You cannot claim more in current year program income expended than has been received.","")</f>
        <v/>
      </c>
      <c r="D52" s="574"/>
      <c r="E52" s="574"/>
      <c r="F52" s="574"/>
      <c r="G52" s="574"/>
      <c r="H52" s="574"/>
      <c r="I52" s="574"/>
      <c r="J52" s="574"/>
      <c r="M52" s="368" t="str">
        <f t="shared" si="2"/>
        <v/>
      </c>
      <c r="N52" s="146"/>
    </row>
  </sheetData>
  <sheetProtection password="C3C4" sheet="1" objects="1" scenarios="1"/>
  <mergeCells count="20">
    <mergeCell ref="C47:I47"/>
    <mergeCell ref="C51:I51"/>
    <mergeCell ref="C52:J52"/>
    <mergeCell ref="C49:I49"/>
    <mergeCell ref="C50:K50"/>
    <mergeCell ref="A1:C1"/>
    <mergeCell ref="K1:L1"/>
    <mergeCell ref="A2:B2"/>
    <mergeCell ref="K2:L2"/>
    <mergeCell ref="E3:F3"/>
    <mergeCell ref="C45:I45"/>
    <mergeCell ref="C46:L46"/>
    <mergeCell ref="D4:F4"/>
    <mergeCell ref="K3:L3"/>
    <mergeCell ref="K4:L4"/>
    <mergeCell ref="E5:F5"/>
    <mergeCell ref="A7:L7"/>
    <mergeCell ref="C43:F43"/>
    <mergeCell ref="C44:L44"/>
    <mergeCell ref="B8:J8"/>
  </mergeCells>
  <conditionalFormatting sqref="B38:B39">
    <cfRule type="cellIs" dxfId="709" priority="83" stopIfTrue="1" operator="equal">
      <formula>"You cannot claim against this contract until all prior year program income has been expended."</formula>
    </cfRule>
  </conditionalFormatting>
  <conditionalFormatting sqref="M42">
    <cfRule type="cellIs" dxfId="708" priority="82" stopIfTrue="1" operator="equal">
      <formula>"You are over budget on expenditures."</formula>
    </cfRule>
  </conditionalFormatting>
  <conditionalFormatting sqref="M42">
    <cfRule type="containsText" dxfId="707" priority="81" operator="containsText" text="Not Ok">
      <formula>NOT(ISERROR(SEARCH("Not Ok",M42)))</formula>
    </cfRule>
  </conditionalFormatting>
  <conditionalFormatting sqref="O47:S47 O45:R46">
    <cfRule type="containsText" dxfId="706" priority="68" stopIfTrue="1" operator="containsText" text="Not Ok">
      <formula>NOT(ISERROR(SEARCH("Not Ok",O45)))</formula>
    </cfRule>
  </conditionalFormatting>
  <conditionalFormatting sqref="O43:V47">
    <cfRule type="containsText" dxfId="705" priority="66" operator="containsText" text="Not Ok">
      <formula>NOT(ISERROR(SEARCH("Not Ok",O43)))</formula>
    </cfRule>
  </conditionalFormatting>
  <conditionalFormatting sqref="N45:N47">
    <cfRule type="containsText" dxfId="704" priority="37" stopIfTrue="1" operator="containsText" text="Not Ok">
      <formula>NOT(ISERROR(SEARCH("Not Ok",N45)))</formula>
    </cfRule>
  </conditionalFormatting>
  <conditionalFormatting sqref="N43:N47">
    <cfRule type="containsText" dxfId="703" priority="36" operator="containsText" text="Not Ok">
      <formula>NOT(ISERROR(SEARCH("Not Ok",N43)))</formula>
    </cfRule>
  </conditionalFormatting>
  <conditionalFormatting sqref="M14 M18 M22">
    <cfRule type="containsText" dxfId="702" priority="24" operator="containsText" text="#">
      <formula>NOT(ISERROR(SEARCH("#",M14)))</formula>
    </cfRule>
  </conditionalFormatting>
  <conditionalFormatting sqref="B36:L36">
    <cfRule type="containsText" dxfId="701" priority="23" operator="containsText" text="Error">
      <formula>NOT(ISERROR(SEARCH("Error",B36)))</formula>
    </cfRule>
  </conditionalFormatting>
  <conditionalFormatting sqref="A36">
    <cfRule type="containsText" dxfId="700" priority="22" operator="containsText" text="Enter">
      <formula>NOT(ISERROR(SEARCH("Enter",A36)))</formula>
    </cfRule>
  </conditionalFormatting>
  <conditionalFormatting sqref="B50">
    <cfRule type="cellIs" dxfId="699" priority="16" stopIfTrue="1" operator="equal">
      <formula>"You cannot claim against this contract until all prior year program income has been expended."</formula>
    </cfRule>
  </conditionalFormatting>
  <conditionalFormatting sqref="A1">
    <cfRule type="containsText" dxfId="698" priority="12" operator="containsText" text="End">
      <formula>NOT(ISERROR(SEARCH("End",A1)))</formula>
    </cfRule>
  </conditionalFormatting>
  <conditionalFormatting sqref="A1">
    <cfRule type="containsText" dxfId="697" priority="11" operator="containsText" text="End">
      <formula>NOT(ISERROR(SEARCH("End",A1)))</formula>
    </cfRule>
  </conditionalFormatting>
  <conditionalFormatting sqref="A2:B2">
    <cfRule type="containsText" dxfId="696" priority="10" operator="containsText" text="Please">
      <formula>NOT(ISERROR(SEARCH("Please",A2)))</formula>
    </cfRule>
  </conditionalFormatting>
  <conditionalFormatting sqref="C43:L49 C51:L51 C50:I50 L50">
    <cfRule type="containsText" dxfId="695" priority="6" operator="containsText" text="Not Ok">
      <formula>NOT(ISERROR(SEARCH("Not Ok",C43)))</formula>
    </cfRule>
  </conditionalFormatting>
  <conditionalFormatting sqref="B52">
    <cfRule type="cellIs" dxfId="694" priority="5" stopIfTrue="1" operator="equal">
      <formula>"You cannot claim against this contract until all prior year program income has been expended."</formula>
    </cfRule>
  </conditionalFormatting>
  <conditionalFormatting sqref="C52:I52 K52:L52">
    <cfRule type="containsText" dxfId="693" priority="4" operator="containsText" text="Not Ok">
      <formula>NOT(ISERROR(SEARCH("Not Ok",C52)))</formula>
    </cfRule>
  </conditionalFormatting>
  <conditionalFormatting sqref="N1">
    <cfRule type="containsText" dxfId="692" priority="3" operator="containsText" text="End">
      <formula>NOT(ISERROR(SEARCH("End",N1)))</formula>
    </cfRule>
  </conditionalFormatting>
  <conditionalFormatting sqref="N1">
    <cfRule type="containsText" dxfId="691" priority="2" operator="containsText" text="End">
      <formula>NOT(ISERROR(SEARCH("End",N1)))</formula>
    </cfRule>
  </conditionalFormatting>
  <conditionalFormatting sqref="N2">
    <cfRule type="containsText" dxfId="690" priority="1" operator="containsText" text="Please">
      <formula>NOT(ISERROR(SEARCH("Please",N2)))</formula>
    </cfRule>
  </conditionalFormatting>
  <dataValidations count="1">
    <dataValidation type="whole" allowBlank="1" showInputMessage="1" showErrorMessage="1" errorTitle="Whole Number Validation" error="You must enter all dollars as whole numbers - no decimals (cents) or spaces." sqref="B14:L22" xr:uid="{A30BCB36-A923-4AB7-8539-5C818DB9CE28}">
      <formula1>-100000000</formula1>
      <formula2>100000000</formula2>
    </dataValidation>
  </dataValidations>
  <printOptions horizontalCentered="1"/>
  <pageMargins left="0.25" right="0.25" top="0.25" bottom="0.25" header="0" footer="0"/>
  <pageSetup scale="73" orientation="landscape" r:id="rId1"/>
  <headerFooter alignWithMargins="0">
    <oddFooter>&amp;R&amp;8&amp;Z&amp;F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9"/>
  <sheetViews>
    <sheetView zoomScaleNormal="100" workbookViewId="0">
      <pane xSplit="1" ySplit="1" topLeftCell="B2" activePane="bottomRight" state="frozen"/>
      <selection pane="topRight" activeCell="B1" sqref="B1"/>
      <selection pane="bottomLeft" activeCell="A2" sqref="A2"/>
      <selection pane="bottomRight" activeCell="A33" sqref="A33"/>
    </sheetView>
  </sheetViews>
  <sheetFormatPr defaultRowHeight="13.2"/>
  <cols>
    <col min="1" max="1" width="20.44140625" customWidth="1"/>
    <col min="2" max="2" width="27.33203125" bestFit="1" customWidth="1"/>
    <col min="3" max="3" width="29.44140625" customWidth="1"/>
    <col min="4" max="4" width="29.88671875" customWidth="1"/>
    <col min="5" max="5" width="28" bestFit="1" customWidth="1"/>
    <col min="6" max="6" width="28" customWidth="1"/>
    <col min="7" max="10" width="28" bestFit="1" customWidth="1"/>
    <col min="11" max="11" width="28.5546875" bestFit="1" customWidth="1"/>
  </cols>
  <sheetData>
    <row r="1" spans="1:10">
      <c r="A1" s="116" t="s">
        <v>41</v>
      </c>
      <c r="B1" s="397"/>
      <c r="C1" s="397"/>
      <c r="D1" s="397"/>
      <c r="E1" s="397"/>
      <c r="F1" s="397"/>
      <c r="G1" s="397"/>
      <c r="H1" s="397"/>
      <c r="I1" s="397"/>
      <c r="J1" s="397"/>
    </row>
    <row r="2" spans="1:10">
      <c r="A2" s="17"/>
      <c r="B2" s="397"/>
      <c r="C2" s="397"/>
      <c r="D2" s="397"/>
      <c r="E2" s="397"/>
      <c r="F2" s="397"/>
      <c r="G2" s="397"/>
      <c r="H2" s="397"/>
      <c r="I2" s="397"/>
      <c r="J2" s="397"/>
    </row>
    <row r="3" spans="1:10">
      <c r="A3" s="130" t="s">
        <v>42</v>
      </c>
      <c r="B3" s="17" t="s">
        <v>43</v>
      </c>
      <c r="C3" s="397"/>
      <c r="D3" s="397"/>
      <c r="E3" s="397"/>
      <c r="F3" s="397"/>
      <c r="G3" s="397"/>
      <c r="H3" s="397"/>
      <c r="I3" s="397"/>
      <c r="J3" s="397"/>
    </row>
    <row r="4" spans="1:10">
      <c r="A4" s="130" t="s">
        <v>44</v>
      </c>
      <c r="B4" s="397"/>
      <c r="C4" s="397"/>
      <c r="D4" s="397"/>
      <c r="E4" s="397"/>
      <c r="F4" s="397"/>
      <c r="G4" s="397"/>
      <c r="H4" s="397"/>
      <c r="I4" s="397"/>
      <c r="J4" s="397"/>
    </row>
    <row r="5" spans="1:10">
      <c r="A5" s="130" t="s">
        <v>45</v>
      </c>
      <c r="B5" s="397"/>
      <c r="C5" s="397"/>
      <c r="D5" s="397"/>
      <c r="E5" s="397"/>
      <c r="F5" s="397"/>
      <c r="G5" s="397"/>
      <c r="H5" s="397"/>
      <c r="I5" s="397"/>
      <c r="J5" s="397"/>
    </row>
    <row r="6" spans="1:10">
      <c r="A6" s="130" t="s">
        <v>46</v>
      </c>
      <c r="B6" s="397"/>
      <c r="C6" s="397"/>
      <c r="D6" s="397"/>
      <c r="E6" s="397"/>
      <c r="F6" s="397"/>
      <c r="G6" s="397"/>
      <c r="H6" s="397"/>
      <c r="I6" s="397"/>
      <c r="J6" s="397"/>
    </row>
    <row r="7" spans="1:10">
      <c r="A7" s="130" t="s">
        <v>47</v>
      </c>
      <c r="B7" s="397"/>
      <c r="C7" s="397"/>
      <c r="D7" s="397"/>
      <c r="E7" s="397"/>
      <c r="F7" s="397"/>
      <c r="G7" s="397"/>
      <c r="H7" s="397"/>
      <c r="I7" s="397"/>
      <c r="J7" s="397"/>
    </row>
    <row r="8" spans="1:10">
      <c r="A8" s="130" t="s">
        <v>48</v>
      </c>
      <c r="B8" s="397"/>
      <c r="C8" s="128"/>
      <c r="D8" s="397"/>
      <c r="E8" s="397"/>
      <c r="F8" s="397"/>
      <c r="G8" s="397"/>
      <c r="H8" s="397"/>
      <c r="I8" s="397"/>
      <c r="J8" s="397"/>
    </row>
    <row r="9" spans="1:10">
      <c r="A9" s="130" t="s">
        <v>49</v>
      </c>
      <c r="B9" s="397"/>
      <c r="C9" s="397"/>
      <c r="D9" s="397"/>
      <c r="E9" s="397"/>
      <c r="F9" s="397"/>
      <c r="G9" s="397"/>
      <c r="H9" s="397"/>
      <c r="I9" s="397"/>
      <c r="J9" s="397"/>
    </row>
    <row r="10" spans="1:10">
      <c r="A10" s="130" t="s">
        <v>50</v>
      </c>
      <c r="B10" s="397"/>
      <c r="C10" s="397"/>
      <c r="D10" s="397"/>
      <c r="E10" s="397"/>
      <c r="F10" s="397"/>
      <c r="G10" s="397"/>
      <c r="H10" s="397"/>
      <c r="I10" s="397"/>
      <c r="J10" s="397"/>
    </row>
    <row r="11" spans="1:10">
      <c r="A11" s="130" t="s">
        <v>51</v>
      </c>
      <c r="B11" s="397"/>
      <c r="C11" s="397"/>
      <c r="D11" s="397"/>
      <c r="E11" s="397"/>
      <c r="F11" s="397"/>
      <c r="G11" s="397"/>
      <c r="H11" s="397"/>
      <c r="I11" s="397"/>
      <c r="J11" s="397"/>
    </row>
    <row r="12" spans="1:10">
      <c r="A12" s="130" t="s">
        <v>52</v>
      </c>
      <c r="B12" s="397"/>
      <c r="C12" s="397"/>
      <c r="D12" s="397"/>
      <c r="E12" s="397"/>
      <c r="F12" s="397"/>
      <c r="G12" s="397"/>
      <c r="H12" s="397"/>
      <c r="I12" s="397"/>
      <c r="J12" s="397"/>
    </row>
    <row r="13" spans="1:10">
      <c r="A13" s="130" t="s">
        <v>53</v>
      </c>
      <c r="B13" s="397"/>
      <c r="C13" s="397"/>
      <c r="D13" s="397"/>
      <c r="E13" s="397"/>
      <c r="F13" s="397"/>
      <c r="G13" s="397"/>
      <c r="H13" s="397"/>
      <c r="I13" s="397"/>
      <c r="J13" s="397"/>
    </row>
    <row r="14" spans="1:10">
      <c r="A14" s="130" t="s">
        <v>54</v>
      </c>
      <c r="B14" s="397"/>
      <c r="C14" s="397"/>
      <c r="D14" s="397"/>
      <c r="E14" s="397"/>
      <c r="F14" s="397"/>
      <c r="G14" s="397"/>
      <c r="H14" s="397"/>
      <c r="I14" s="397"/>
      <c r="J14" s="397"/>
    </row>
    <row r="15" spans="1:10">
      <c r="A15" s="130" t="s">
        <v>55</v>
      </c>
      <c r="B15" s="397"/>
      <c r="C15" s="397"/>
      <c r="D15" s="397"/>
      <c r="E15" s="397"/>
      <c r="F15" s="397"/>
      <c r="G15" s="397"/>
      <c r="H15" s="397"/>
      <c r="I15" s="397"/>
      <c r="J15" s="397"/>
    </row>
    <row r="16" spans="1:10">
      <c r="A16" s="130"/>
      <c r="B16" s="345"/>
      <c r="C16" s="19"/>
      <c r="D16" s="19"/>
      <c r="E16" s="19"/>
      <c r="F16" s="19"/>
      <c r="G16" s="19"/>
      <c r="H16" s="19"/>
      <c r="I16" s="19"/>
      <c r="J16" s="19"/>
    </row>
    <row r="17" spans="1:12">
      <c r="A17" s="130"/>
      <c r="B17" s="345"/>
      <c r="C17" s="19"/>
      <c r="D17" s="19"/>
      <c r="E17" s="19"/>
      <c r="F17" s="19"/>
      <c r="G17" s="19"/>
      <c r="H17" s="19"/>
      <c r="I17" s="19"/>
      <c r="J17" s="19"/>
      <c r="K17" s="397"/>
      <c r="L17" s="397"/>
    </row>
    <row r="18" spans="1:12">
      <c r="A18" s="130"/>
      <c r="B18" s="345"/>
      <c r="C18" s="19"/>
      <c r="D18" s="19"/>
      <c r="E18" s="19"/>
      <c r="F18" s="19"/>
      <c r="G18" s="19"/>
      <c r="H18" s="19"/>
      <c r="I18" s="19"/>
      <c r="J18" s="19"/>
      <c r="K18" s="397"/>
      <c r="L18" s="397"/>
    </row>
    <row r="19" spans="1:12" ht="15.6">
      <c r="A19" s="131" t="s">
        <v>56</v>
      </c>
      <c r="B19" s="345"/>
      <c r="C19" s="19"/>
      <c r="D19" s="19"/>
      <c r="E19" s="19"/>
      <c r="F19" s="19"/>
      <c r="G19" s="19"/>
      <c r="H19" s="19"/>
      <c r="I19" s="19"/>
      <c r="J19" s="19"/>
      <c r="K19" s="397"/>
      <c r="L19" s="397"/>
    </row>
    <row r="20" spans="1:12">
      <c r="A20" s="116" t="s">
        <v>41</v>
      </c>
      <c r="B20" s="224" t="s">
        <v>57</v>
      </c>
      <c r="C20" s="224" t="s">
        <v>58</v>
      </c>
      <c r="D20" s="517" t="s">
        <v>59</v>
      </c>
      <c r="E20" s="224" t="s">
        <v>60</v>
      </c>
      <c r="F20" s="517" t="s">
        <v>61</v>
      </c>
      <c r="G20" s="224" t="s">
        <v>62</v>
      </c>
      <c r="H20" s="517" t="s">
        <v>63</v>
      </c>
      <c r="I20" s="224" t="s">
        <v>64</v>
      </c>
      <c r="J20" s="517" t="s">
        <v>65</v>
      </c>
      <c r="K20" s="116" t="s">
        <v>66</v>
      </c>
      <c r="L20" s="397"/>
    </row>
    <row r="21" spans="1:12">
      <c r="A21" s="130" t="s">
        <v>46</v>
      </c>
      <c r="B21" s="15" t="s">
        <v>67</v>
      </c>
      <c r="C21" s="15" t="s">
        <v>68</v>
      </c>
      <c r="D21" s="15" t="s">
        <v>69</v>
      </c>
      <c r="E21" s="15" t="s">
        <v>70</v>
      </c>
      <c r="F21" s="15" t="s">
        <v>69</v>
      </c>
      <c r="G21" s="15" t="s">
        <v>69</v>
      </c>
      <c r="H21" s="15" t="s">
        <v>71</v>
      </c>
      <c r="I21" s="15" t="s">
        <v>68</v>
      </c>
      <c r="J21" s="397" t="s">
        <v>69</v>
      </c>
      <c r="K21" s="397" t="s">
        <v>69</v>
      </c>
      <c r="L21" s="397">
        <v>4</v>
      </c>
    </row>
    <row r="22" spans="1:12">
      <c r="A22" s="130" t="s">
        <v>50</v>
      </c>
      <c r="B22" s="15" t="s">
        <v>67</v>
      </c>
      <c r="C22" s="15" t="s">
        <v>68</v>
      </c>
      <c r="D22" s="15" t="s">
        <v>69</v>
      </c>
      <c r="E22" s="15" t="s">
        <v>69</v>
      </c>
      <c r="F22" s="15" t="s">
        <v>72</v>
      </c>
      <c r="G22" s="15" t="s">
        <v>69</v>
      </c>
      <c r="H22" s="15" t="s">
        <v>71</v>
      </c>
      <c r="I22" s="15" t="s">
        <v>68</v>
      </c>
      <c r="J22" s="397" t="s">
        <v>69</v>
      </c>
      <c r="K22" s="397" t="s">
        <v>69</v>
      </c>
      <c r="L22" s="397">
        <v>8</v>
      </c>
    </row>
    <row r="23" spans="1:12">
      <c r="A23" s="130" t="s">
        <v>54</v>
      </c>
      <c r="B23" s="15" t="s">
        <v>67</v>
      </c>
      <c r="C23" s="15" t="s">
        <v>69</v>
      </c>
      <c r="D23" s="15" t="s">
        <v>73</v>
      </c>
      <c r="E23" s="15" t="s">
        <v>69</v>
      </c>
      <c r="F23" s="15" t="s">
        <v>72</v>
      </c>
      <c r="G23" s="15" t="s">
        <v>69</v>
      </c>
      <c r="H23" s="15" t="s">
        <v>71</v>
      </c>
      <c r="I23" s="397" t="s">
        <v>69</v>
      </c>
      <c r="J23" s="15" t="s">
        <v>73</v>
      </c>
      <c r="K23" s="397" t="s">
        <v>69</v>
      </c>
      <c r="L23" s="397">
        <v>12</v>
      </c>
    </row>
    <row r="24" spans="1:12">
      <c r="A24" s="130" t="s">
        <v>44</v>
      </c>
      <c r="B24" s="15" t="s">
        <v>67</v>
      </c>
      <c r="C24" s="15" t="s">
        <v>68</v>
      </c>
      <c r="D24" s="15" t="s">
        <v>69</v>
      </c>
      <c r="E24" s="15" t="s">
        <v>70</v>
      </c>
      <c r="F24" s="15" t="s">
        <v>69</v>
      </c>
      <c r="G24" s="15" t="s">
        <v>74</v>
      </c>
      <c r="H24" s="15" t="s">
        <v>69</v>
      </c>
      <c r="I24" s="15" t="s">
        <v>68</v>
      </c>
      <c r="J24" s="397" t="s">
        <v>69</v>
      </c>
      <c r="K24" s="397" t="s">
        <v>69</v>
      </c>
      <c r="L24" s="397">
        <v>2</v>
      </c>
    </row>
    <row r="25" spans="1:12">
      <c r="A25" s="130" t="s">
        <v>55</v>
      </c>
      <c r="B25" s="15" t="s">
        <v>55</v>
      </c>
      <c r="C25" s="15" t="s">
        <v>55</v>
      </c>
      <c r="D25" s="15" t="s">
        <v>69</v>
      </c>
      <c r="E25" s="15" t="s">
        <v>55</v>
      </c>
      <c r="F25" s="15" t="s">
        <v>69</v>
      </c>
      <c r="G25" s="15" t="s">
        <v>55</v>
      </c>
      <c r="H25" s="15" t="s">
        <v>69</v>
      </c>
      <c r="I25" s="397" t="s">
        <v>69</v>
      </c>
      <c r="J25" s="397" t="s">
        <v>69</v>
      </c>
      <c r="K25" s="397" t="s">
        <v>69</v>
      </c>
      <c r="L25" s="397" t="s">
        <v>75</v>
      </c>
    </row>
    <row r="26" spans="1:12">
      <c r="A26" s="130" t="s">
        <v>42</v>
      </c>
      <c r="B26" s="15" t="s">
        <v>67</v>
      </c>
      <c r="C26" s="15" t="s">
        <v>68</v>
      </c>
      <c r="D26" s="15" t="s">
        <v>69</v>
      </c>
      <c r="E26" s="15" t="s">
        <v>70</v>
      </c>
      <c r="F26" s="15" t="s">
        <v>69</v>
      </c>
      <c r="G26" s="15" t="s">
        <v>74</v>
      </c>
      <c r="H26" s="15" t="s">
        <v>69</v>
      </c>
      <c r="I26" s="15" t="s">
        <v>68</v>
      </c>
      <c r="J26" s="397" t="s">
        <v>69</v>
      </c>
      <c r="K26" s="397" t="s">
        <v>69</v>
      </c>
      <c r="L26" s="397">
        <v>1</v>
      </c>
    </row>
    <row r="27" spans="1:12">
      <c r="A27" s="130" t="s">
        <v>49</v>
      </c>
      <c r="B27" s="15" t="s">
        <v>67</v>
      </c>
      <c r="C27" s="15" t="s">
        <v>68</v>
      </c>
      <c r="D27" s="15" t="s">
        <v>69</v>
      </c>
      <c r="E27" s="15" t="s">
        <v>69</v>
      </c>
      <c r="F27" s="15" t="s">
        <v>72</v>
      </c>
      <c r="G27" s="15" t="s">
        <v>69</v>
      </c>
      <c r="H27" s="15" t="s">
        <v>71</v>
      </c>
      <c r="I27" s="15" t="s">
        <v>68</v>
      </c>
      <c r="J27" s="397" t="s">
        <v>69</v>
      </c>
      <c r="K27" s="397" t="s">
        <v>69</v>
      </c>
      <c r="L27" s="397">
        <v>7</v>
      </c>
    </row>
    <row r="28" spans="1:12">
      <c r="A28" s="130" t="s">
        <v>48</v>
      </c>
      <c r="B28" s="15" t="s">
        <v>67</v>
      </c>
      <c r="C28" s="15" t="s">
        <v>68</v>
      </c>
      <c r="D28" s="15" t="s">
        <v>69</v>
      </c>
      <c r="E28" s="15" t="s">
        <v>70</v>
      </c>
      <c r="F28" s="15" t="s">
        <v>69</v>
      </c>
      <c r="G28" s="15" t="s">
        <v>69</v>
      </c>
      <c r="H28" s="15" t="s">
        <v>71</v>
      </c>
      <c r="I28" s="15" t="s">
        <v>68</v>
      </c>
      <c r="J28" s="397" t="s">
        <v>69</v>
      </c>
      <c r="K28" s="397" t="s">
        <v>69</v>
      </c>
      <c r="L28" s="397">
        <v>6</v>
      </c>
    </row>
    <row r="29" spans="1:12">
      <c r="A29" s="130" t="s">
        <v>45</v>
      </c>
      <c r="B29" s="15" t="s">
        <v>67</v>
      </c>
      <c r="C29" s="15" t="s">
        <v>68</v>
      </c>
      <c r="D29" s="15" t="s">
        <v>69</v>
      </c>
      <c r="E29" s="15" t="s">
        <v>70</v>
      </c>
      <c r="F29" s="15" t="s">
        <v>69</v>
      </c>
      <c r="G29" s="15" t="s">
        <v>74</v>
      </c>
      <c r="H29" s="15" t="s">
        <v>69</v>
      </c>
      <c r="I29" s="15" t="s">
        <v>68</v>
      </c>
      <c r="J29" s="397" t="s">
        <v>69</v>
      </c>
      <c r="K29" s="397" t="s">
        <v>69</v>
      </c>
      <c r="L29" s="397">
        <v>3</v>
      </c>
    </row>
    <row r="30" spans="1:12">
      <c r="A30" s="130" t="s">
        <v>47</v>
      </c>
      <c r="B30" s="15" t="s">
        <v>67</v>
      </c>
      <c r="C30" s="15" t="s">
        <v>68</v>
      </c>
      <c r="D30" s="15" t="s">
        <v>69</v>
      </c>
      <c r="E30" s="15" t="s">
        <v>70</v>
      </c>
      <c r="F30" s="15" t="s">
        <v>69</v>
      </c>
      <c r="G30" s="15" t="s">
        <v>69</v>
      </c>
      <c r="H30" s="15" t="s">
        <v>71</v>
      </c>
      <c r="I30" s="15" t="s">
        <v>68</v>
      </c>
      <c r="J30" s="397" t="s">
        <v>69</v>
      </c>
      <c r="K30" s="397" t="s">
        <v>69</v>
      </c>
      <c r="L30" s="397">
        <v>5</v>
      </c>
    </row>
    <row r="31" spans="1:12">
      <c r="A31" s="130" t="s">
        <v>53</v>
      </c>
      <c r="B31" s="15" t="s">
        <v>67</v>
      </c>
      <c r="C31" s="15" t="s">
        <v>69</v>
      </c>
      <c r="D31" s="15" t="s">
        <v>73</v>
      </c>
      <c r="E31" s="15" t="s">
        <v>69</v>
      </c>
      <c r="F31" s="15" t="s">
        <v>72</v>
      </c>
      <c r="G31" s="15" t="s">
        <v>69</v>
      </c>
      <c r="H31" s="15" t="s">
        <v>71</v>
      </c>
      <c r="I31" s="397" t="s">
        <v>69</v>
      </c>
      <c r="J31" s="15" t="s">
        <v>73</v>
      </c>
      <c r="K31" s="397" t="s">
        <v>69</v>
      </c>
      <c r="L31" s="397">
        <v>11</v>
      </c>
    </row>
    <row r="32" spans="1:12">
      <c r="A32" s="130" t="s">
        <v>52</v>
      </c>
      <c r="B32" s="15" t="s">
        <v>67</v>
      </c>
      <c r="C32" s="15" t="s">
        <v>69</v>
      </c>
      <c r="D32" s="15" t="s">
        <v>73</v>
      </c>
      <c r="E32" s="15" t="s">
        <v>69</v>
      </c>
      <c r="F32" s="15" t="s">
        <v>72</v>
      </c>
      <c r="G32" s="15" t="s">
        <v>69</v>
      </c>
      <c r="H32" s="15" t="s">
        <v>71</v>
      </c>
      <c r="I32" s="397" t="s">
        <v>69</v>
      </c>
      <c r="J32" s="15" t="s">
        <v>73</v>
      </c>
      <c r="K32" s="397" t="s">
        <v>69</v>
      </c>
      <c r="L32" s="397">
        <v>10</v>
      </c>
    </row>
    <row r="33" spans="1:12">
      <c r="A33" s="130" t="s">
        <v>51</v>
      </c>
      <c r="B33" s="15" t="s">
        <v>67</v>
      </c>
      <c r="C33" s="15" t="s">
        <v>68</v>
      </c>
      <c r="D33" s="15" t="s">
        <v>69</v>
      </c>
      <c r="E33" s="15" t="s">
        <v>69</v>
      </c>
      <c r="F33" s="15" t="s">
        <v>72</v>
      </c>
      <c r="G33" s="15" t="s">
        <v>69</v>
      </c>
      <c r="H33" s="15" t="s">
        <v>71</v>
      </c>
      <c r="I33" s="15" t="s">
        <v>68</v>
      </c>
      <c r="J33" s="397" t="s">
        <v>69</v>
      </c>
      <c r="K33" s="397" t="s">
        <v>69</v>
      </c>
      <c r="L33" s="397">
        <v>9</v>
      </c>
    </row>
    <row r="34" spans="1:12">
      <c r="A34" s="130" t="s">
        <v>76</v>
      </c>
      <c r="B34" s="397" t="s">
        <v>67</v>
      </c>
      <c r="C34" s="15" t="s">
        <v>68</v>
      </c>
      <c r="D34" s="15" t="s">
        <v>73</v>
      </c>
      <c r="E34" s="15" t="s">
        <v>70</v>
      </c>
      <c r="F34" s="15" t="s">
        <v>72</v>
      </c>
      <c r="G34" s="15" t="s">
        <v>74</v>
      </c>
      <c r="H34" s="15" t="s">
        <v>71</v>
      </c>
      <c r="I34" s="15" t="s">
        <v>68</v>
      </c>
      <c r="J34" s="15" t="s">
        <v>73</v>
      </c>
      <c r="K34" s="15" t="s">
        <v>68</v>
      </c>
      <c r="L34" s="397"/>
    </row>
    <row r="35" spans="1:12">
      <c r="A35" s="130"/>
      <c r="B35" s="345"/>
      <c r="C35" s="345"/>
      <c r="D35" s="345"/>
      <c r="E35" s="345"/>
      <c r="F35" s="345"/>
      <c r="G35" s="345"/>
      <c r="H35" s="345"/>
      <c r="I35" s="345"/>
      <c r="J35" s="19"/>
      <c r="K35" s="397"/>
      <c r="L35" s="397"/>
    </row>
    <row r="36" spans="1:12">
      <c r="A36" s="130"/>
      <c r="B36" s="345"/>
      <c r="C36" s="19"/>
      <c r="D36" s="345"/>
      <c r="E36" s="345"/>
      <c r="F36" s="345"/>
      <c r="G36" s="345"/>
      <c r="H36" s="345"/>
      <c r="I36" s="345"/>
      <c r="J36" s="19"/>
      <c r="K36" s="397"/>
      <c r="L36" s="397"/>
    </row>
    <row r="37" spans="1:12">
      <c r="A37" s="116" t="s">
        <v>77</v>
      </c>
      <c r="B37" s="35"/>
      <c r="C37" s="19"/>
      <c r="D37" s="19"/>
      <c r="E37" s="19"/>
      <c r="F37" s="19"/>
      <c r="G37" s="19"/>
      <c r="H37" s="19"/>
      <c r="I37" s="19"/>
      <c r="J37" s="19"/>
      <c r="K37" s="397"/>
      <c r="L37" s="397"/>
    </row>
    <row r="38" spans="1:12">
      <c r="A38" s="129"/>
      <c r="B38" s="35"/>
      <c r="C38" s="35"/>
      <c r="D38" s="35"/>
      <c r="E38" s="19"/>
      <c r="F38" s="19"/>
      <c r="G38" s="19"/>
      <c r="H38" s="19"/>
      <c r="I38" s="19"/>
      <c r="J38" s="19"/>
      <c r="K38" s="397"/>
      <c r="L38" s="397"/>
    </row>
    <row r="39" spans="1:12">
      <c r="A39" s="15" t="s">
        <v>78</v>
      </c>
      <c r="B39" s="340"/>
      <c r="C39" s="19"/>
      <c r="D39" s="19"/>
      <c r="E39" s="19"/>
      <c r="F39" s="19"/>
      <c r="G39" s="19"/>
      <c r="H39" s="19"/>
      <c r="I39" s="19"/>
      <c r="J39" s="19"/>
      <c r="K39" s="397"/>
      <c r="L39" s="397"/>
    </row>
    <row r="43" spans="1:12">
      <c r="A43" s="397"/>
      <c r="B43" s="397"/>
      <c r="C43" s="130" t="s">
        <v>79</v>
      </c>
      <c r="D43" s="15" t="s">
        <v>80</v>
      </c>
      <c r="E43" s="397"/>
      <c r="F43" s="397"/>
      <c r="G43" s="397"/>
      <c r="H43" s="397"/>
      <c r="I43" s="397"/>
      <c r="J43" s="397"/>
      <c r="K43" s="397"/>
      <c r="L43" s="397"/>
    </row>
    <row r="44" spans="1:12">
      <c r="A44" s="117"/>
      <c r="B44" s="18"/>
      <c r="C44" s="397" t="s">
        <v>69</v>
      </c>
      <c r="D44" s="397" t="s">
        <v>69</v>
      </c>
      <c r="E44" s="397"/>
      <c r="F44" s="397"/>
      <c r="G44" s="397"/>
      <c r="H44" s="397"/>
      <c r="I44" s="397"/>
      <c r="J44" s="397"/>
      <c r="K44" s="397"/>
      <c r="L44" s="397"/>
    </row>
    <row r="45" spans="1:12">
      <c r="A45" s="117"/>
      <c r="B45" s="18"/>
      <c r="C45" s="116" t="s">
        <v>57</v>
      </c>
      <c r="D45" s="397" t="s">
        <v>81</v>
      </c>
      <c r="E45" s="397"/>
      <c r="F45" s="397"/>
      <c r="G45" s="397"/>
      <c r="H45" s="397"/>
      <c r="I45" s="397"/>
      <c r="J45" s="397"/>
      <c r="K45" s="397"/>
      <c r="L45" s="397"/>
    </row>
    <row r="46" spans="1:12">
      <c r="A46" s="117"/>
      <c r="B46" s="18"/>
      <c r="C46" s="116" t="s">
        <v>82</v>
      </c>
      <c r="D46" s="15" t="s">
        <v>83</v>
      </c>
      <c r="E46" s="397"/>
      <c r="F46" s="397"/>
      <c r="G46" s="397"/>
      <c r="H46" s="397"/>
      <c r="I46" s="397"/>
      <c r="J46" s="397"/>
      <c r="K46" s="397"/>
      <c r="L46" s="397"/>
    </row>
    <row r="47" spans="1:12">
      <c r="A47" s="117"/>
      <c r="B47" s="18"/>
      <c r="C47" s="116" t="s">
        <v>84</v>
      </c>
      <c r="D47" s="15" t="s">
        <v>85</v>
      </c>
      <c r="E47" s="397"/>
      <c r="F47" s="397"/>
      <c r="G47" s="397"/>
      <c r="H47" s="397"/>
      <c r="I47" s="397"/>
      <c r="J47" s="397"/>
      <c r="K47" s="397"/>
      <c r="L47" s="397"/>
    </row>
    <row r="48" spans="1:12">
      <c r="A48" s="117"/>
      <c r="B48" s="18"/>
      <c r="C48" s="116" t="s">
        <v>86</v>
      </c>
      <c r="D48" s="15" t="s">
        <v>87</v>
      </c>
      <c r="E48" s="397"/>
      <c r="F48" s="15"/>
      <c r="G48" s="397"/>
      <c r="H48" s="397"/>
      <c r="I48" s="397"/>
      <c r="J48" s="397"/>
      <c r="K48" s="397"/>
      <c r="L48" s="397"/>
    </row>
    <row r="49" spans="1:6">
      <c r="A49" s="117"/>
      <c r="B49" s="18"/>
      <c r="C49" s="116" t="s">
        <v>88</v>
      </c>
      <c r="D49" s="15" t="s">
        <v>89</v>
      </c>
      <c r="E49" s="397"/>
      <c r="F49" s="397"/>
    </row>
    <row r="50" spans="1:6">
      <c r="A50" s="117"/>
      <c r="B50" s="18"/>
      <c r="C50" s="116"/>
      <c r="D50" s="15"/>
      <c r="E50" s="397"/>
      <c r="F50" s="15"/>
    </row>
    <row r="51" spans="1:6">
      <c r="A51" s="117"/>
      <c r="B51" s="18"/>
      <c r="C51" s="116" t="s">
        <v>90</v>
      </c>
      <c r="D51" s="397" t="s">
        <v>91</v>
      </c>
      <c r="E51" s="397"/>
      <c r="F51" s="397"/>
    </row>
    <row r="52" spans="1:6">
      <c r="A52" s="117"/>
      <c r="B52" s="18"/>
      <c r="C52" s="116" t="s">
        <v>92</v>
      </c>
      <c r="D52" s="15" t="s">
        <v>85</v>
      </c>
      <c r="E52" s="397"/>
      <c r="F52" s="397"/>
    </row>
    <row r="53" spans="1:6">
      <c r="A53" s="117"/>
      <c r="B53" s="18"/>
      <c r="C53" s="397"/>
      <c r="D53" s="397"/>
      <c r="E53" s="397"/>
      <c r="F53" s="397"/>
    </row>
    <row r="54" spans="1:6">
      <c r="A54" s="117"/>
      <c r="B54" s="18"/>
      <c r="C54" s="17" t="s">
        <v>93</v>
      </c>
      <c r="D54" s="15" t="s">
        <v>83</v>
      </c>
      <c r="E54" s="397"/>
      <c r="F54" s="397"/>
    </row>
    <row r="55" spans="1:6">
      <c r="A55" s="117"/>
      <c r="B55" s="18"/>
      <c r="C55" s="17" t="s">
        <v>94</v>
      </c>
      <c r="D55" s="15" t="s">
        <v>85</v>
      </c>
      <c r="E55" s="397"/>
      <c r="F55" s="397"/>
    </row>
    <row r="56" spans="1:6">
      <c r="A56" s="117"/>
      <c r="B56" s="18"/>
      <c r="C56" s="397"/>
      <c r="D56" s="397"/>
      <c r="E56" s="397"/>
      <c r="F56" s="397"/>
    </row>
    <row r="57" spans="1:6">
      <c r="A57" s="397"/>
      <c r="B57" s="18"/>
      <c r="C57" s="397"/>
      <c r="D57" s="397"/>
      <c r="E57" s="397"/>
      <c r="F57" s="397"/>
    </row>
    <row r="58" spans="1:6">
      <c r="A58" s="117"/>
      <c r="B58" s="18"/>
      <c r="C58" s="397"/>
      <c r="D58" s="397"/>
      <c r="E58" s="397"/>
      <c r="F58" s="397"/>
    </row>
    <row r="59" spans="1:6">
      <c r="A59" s="130"/>
      <c r="B59" s="345"/>
      <c r="C59" s="397"/>
      <c r="D59" s="397"/>
      <c r="E59" s="397"/>
      <c r="F59" s="397"/>
    </row>
  </sheetData>
  <sheetProtection password="C3C4" sheet="1" objects="1" scenarios="1"/>
  <sortState ref="A21:L33">
    <sortCondition ref="A21:A33"/>
  </sortState>
  <customSheetViews>
    <customSheetView guid="{89953FCB-456A-4C2D-8912-B30825F750D3}" fitToPage="1" state="hidden">
      <pane xSplit="1" ySplit="1" topLeftCell="B2" activePane="bottomRight" state="frozen"/>
      <selection pane="bottomRight" activeCell="C10" sqref="C10"/>
      <pageMargins left="0" right="0" top="0" bottom="0" header="0" footer="0"/>
      <pageSetup scale="63" fitToWidth="3" orientation="landscape" r:id="rId1"/>
      <headerFooter alignWithMargins="0"/>
    </customSheetView>
  </customSheetViews>
  <phoneticPr fontId="4" type="noConversion"/>
  <pageMargins left="0.75" right="0.75" top="1" bottom="1" header="0.5" footer="0.5"/>
  <pageSetup scale="63" fitToWidth="3" orientation="landscape"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R53"/>
  <sheetViews>
    <sheetView showGridLines="0" zoomScaleNormal="100" workbookViewId="0">
      <selection activeCell="C17" sqref="C17"/>
    </sheetView>
  </sheetViews>
  <sheetFormatPr defaultRowHeight="15" customHeight="1"/>
  <cols>
    <col min="1" max="1" width="31.6640625" customWidth="1"/>
    <col min="2" max="12" width="12.6640625" customWidth="1"/>
    <col min="13" max="13" width="15.6640625" style="15" customWidth="1"/>
    <col min="14" max="14" width="9.109375" style="15"/>
  </cols>
  <sheetData>
    <row r="1" spans="1:14" s="13" customFormat="1" ht="15" customHeight="1">
      <c r="A1" s="601" t="str">
        <f>IF(N1="x","End of Year approaching, please address errors listed below.","")</f>
        <v/>
      </c>
      <c r="B1" s="601"/>
      <c r="C1" s="601"/>
      <c r="D1" s="15"/>
      <c r="E1" s="15"/>
      <c r="F1" s="156"/>
      <c r="G1" s="15"/>
      <c r="H1" s="15"/>
      <c r="I1" s="15"/>
      <c r="J1" s="15"/>
      <c r="K1" s="604" t="s">
        <v>1204</v>
      </c>
      <c r="L1" s="572"/>
      <c r="M1" s="15"/>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1205</v>
      </c>
      <c r="L2" s="572"/>
      <c r="M2" s="15"/>
      <c r="N2" s="167" t="str">
        <f>IF(G5="x","",IF(OR(M50="x",M51="x",M43="x"),"x",""))</f>
        <v/>
      </c>
    </row>
    <row r="3" spans="1:14" s="13" customFormat="1" ht="15" customHeight="1">
      <c r="A3" s="17" t="s">
        <v>1123</v>
      </c>
      <c r="B3" s="15"/>
      <c r="C3" s="15"/>
      <c r="D3" s="15"/>
      <c r="E3" s="608" t="str">
        <f>'III-B - #11619'!E3:F3</f>
        <v>Menominee Tribe</v>
      </c>
      <c r="F3" s="608"/>
      <c r="G3" s="62"/>
      <c r="H3" s="15"/>
      <c r="I3" s="15"/>
      <c r="J3" s="15"/>
      <c r="K3" s="603" t="s">
        <v>1206</v>
      </c>
      <c r="L3" s="603"/>
      <c r="M3" s="15"/>
      <c r="N3" s="62"/>
    </row>
    <row r="4" spans="1:14" s="13" customFormat="1" ht="15" customHeight="1">
      <c r="A4" s="17" t="s">
        <v>1125</v>
      </c>
      <c r="B4" s="15"/>
      <c r="C4" s="15"/>
      <c r="D4" s="608" t="e">
        <f>LOOKUP(E5,Date,'Addl Info'!D21:D33)</f>
        <v>#N/A</v>
      </c>
      <c r="E4" s="609"/>
      <c r="F4" s="609"/>
      <c r="G4" s="62"/>
      <c r="H4" s="15"/>
      <c r="I4" s="15"/>
      <c r="J4" s="15"/>
      <c r="K4" s="15"/>
      <c r="L4" s="15"/>
      <c r="M4" s="15"/>
      <c r="N4" s="62"/>
    </row>
    <row r="5" spans="1:14" s="13" customFormat="1" ht="15" customHeight="1">
      <c r="A5" s="17" t="s">
        <v>1126</v>
      </c>
      <c r="B5" s="15"/>
      <c r="C5" s="15"/>
      <c r="D5" s="15"/>
      <c r="E5" s="608" t="str">
        <f>'III-B - #11619'!E5:F5</f>
        <v/>
      </c>
      <c r="F5" s="608"/>
      <c r="G5" s="62" t="str">
        <f>IF(OR(E5="October 2018",E5="November 2018",E5="December 2018",E5="Final Submission 2018"),"x","")</f>
        <v/>
      </c>
      <c r="H5" s="15"/>
      <c r="I5" s="15"/>
      <c r="J5" s="15"/>
      <c r="K5" s="15"/>
      <c r="L5" s="15"/>
      <c r="M5" s="15"/>
      <c r="N5" s="15"/>
    </row>
    <row r="6" spans="1:14" s="13" customFormat="1" ht="15" customHeight="1">
      <c r="A6" s="17" t="s">
        <v>1127</v>
      </c>
      <c r="B6" s="15"/>
      <c r="C6" s="15"/>
      <c r="D6" s="15"/>
      <c r="E6" s="15"/>
      <c r="F6" s="16" t="e">
        <f>IF(D4="Non-Submission Period",0,LOOKUP(E3,CAUTAU,Allocations!N4:N92))</f>
        <v>#N/A</v>
      </c>
      <c r="G6" s="62"/>
      <c r="H6" s="15"/>
      <c r="I6" s="15"/>
      <c r="J6" s="15"/>
      <c r="K6" s="15"/>
      <c r="L6" s="15"/>
      <c r="M6" s="15"/>
      <c r="N6" s="15"/>
    </row>
    <row r="7" spans="1:14" ht="15" customHeight="1">
      <c r="A7" s="606"/>
      <c r="B7" s="607"/>
      <c r="C7" s="607"/>
      <c r="D7" s="607"/>
      <c r="E7" s="607"/>
      <c r="F7" s="607"/>
      <c r="G7" s="607"/>
      <c r="H7" s="607"/>
      <c r="I7" s="607"/>
      <c r="J7" s="607"/>
      <c r="K7" s="607"/>
      <c r="L7" s="607"/>
    </row>
    <row r="8" spans="1:14" s="2" customFormat="1" ht="15" customHeight="1" thickBot="1">
      <c r="A8" s="1"/>
      <c r="B8" s="605" t="s">
        <v>1207</v>
      </c>
      <c r="C8" s="605"/>
      <c r="D8" s="605"/>
      <c r="E8" s="605"/>
      <c r="F8" s="605"/>
      <c r="G8" s="605"/>
      <c r="H8" s="605"/>
      <c r="I8" s="605"/>
      <c r="J8" s="605"/>
    </row>
    <row r="9" spans="1:14" ht="77.099999999999994" customHeight="1">
      <c r="A9" s="187" t="s">
        <v>1128</v>
      </c>
      <c r="B9" s="179" t="s">
        <v>1208</v>
      </c>
      <c r="C9" s="180" t="s">
        <v>1209</v>
      </c>
      <c r="D9" s="179" t="s">
        <v>1131</v>
      </c>
      <c r="E9" s="179" t="s">
        <v>1132</v>
      </c>
      <c r="F9" s="188"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09"/>
      <c r="G10" s="323"/>
      <c r="H10" s="323"/>
      <c r="I10" s="323"/>
      <c r="J10" s="323"/>
      <c r="K10" s="323"/>
      <c r="L10" s="324"/>
      <c r="M10" s="311"/>
      <c r="N10" s="225"/>
    </row>
    <row r="11" spans="1:14" ht="12.9" customHeight="1">
      <c r="A11" s="181" t="s">
        <v>1139</v>
      </c>
      <c r="B11" s="323"/>
      <c r="C11" s="323"/>
      <c r="D11" s="323"/>
      <c r="E11" s="323"/>
      <c r="F11" s="309"/>
      <c r="G11" s="323"/>
      <c r="H11" s="323"/>
      <c r="I11" s="323"/>
      <c r="J11" s="323"/>
      <c r="K11" s="323"/>
      <c r="L11" s="324"/>
      <c r="M11" s="311"/>
      <c r="N11" s="225"/>
    </row>
    <row r="12" spans="1:14" ht="12.9" customHeight="1">
      <c r="A12" s="181" t="s">
        <v>1140</v>
      </c>
      <c r="B12" s="323"/>
      <c r="C12" s="323"/>
      <c r="D12" s="323"/>
      <c r="E12" s="323"/>
      <c r="F12" s="309"/>
      <c r="G12" s="323"/>
      <c r="H12" s="323"/>
      <c r="I12" s="323"/>
      <c r="J12" s="323"/>
      <c r="K12" s="323"/>
      <c r="L12" s="324"/>
      <c r="M12" s="311"/>
      <c r="N12" s="225"/>
    </row>
    <row r="13" spans="1:14" ht="12.9" customHeight="1">
      <c r="A13" s="181" t="s">
        <v>1141</v>
      </c>
      <c r="B13" s="323"/>
      <c r="C13" s="323"/>
      <c r="D13" s="323"/>
      <c r="E13" s="323"/>
      <c r="F13" s="309"/>
      <c r="G13" s="323"/>
      <c r="H13" s="323"/>
      <c r="I13" s="323"/>
      <c r="J13" s="323"/>
      <c r="K13" s="323"/>
      <c r="L13" s="324"/>
      <c r="M13" s="311"/>
      <c r="N13" s="225"/>
    </row>
    <row r="14" spans="1:14" ht="12.9" customHeight="1">
      <c r="A14" s="181" t="s">
        <v>1142</v>
      </c>
      <c r="B14" s="318"/>
      <c r="C14" s="306"/>
      <c r="D14" s="323"/>
      <c r="E14" s="323"/>
      <c r="F14" s="309"/>
      <c r="G14" s="323"/>
      <c r="H14" s="323"/>
      <c r="I14" s="323"/>
      <c r="J14" s="323"/>
      <c r="K14" s="323"/>
      <c r="L14" s="324"/>
      <c r="M14" s="308">
        <f>C14</f>
        <v>0</v>
      </c>
      <c r="N14" s="225"/>
    </row>
    <row r="15" spans="1:14" ht="12.9" customHeight="1">
      <c r="A15" s="181" t="s">
        <v>1143</v>
      </c>
      <c r="B15" s="323"/>
      <c r="C15" s="323"/>
      <c r="D15" s="323"/>
      <c r="E15" s="323"/>
      <c r="F15" s="309"/>
      <c r="G15" s="323"/>
      <c r="H15" s="323"/>
      <c r="I15" s="323"/>
      <c r="J15" s="323"/>
      <c r="K15" s="323"/>
      <c r="L15" s="324"/>
      <c r="M15" s="311"/>
      <c r="N15" s="225"/>
    </row>
    <row r="16" spans="1:14" ht="12.9" customHeight="1">
      <c r="A16" s="181" t="s">
        <v>1144</v>
      </c>
      <c r="B16" s="323"/>
      <c r="C16" s="323"/>
      <c r="D16" s="323"/>
      <c r="E16" s="323"/>
      <c r="F16" s="309"/>
      <c r="G16" s="323"/>
      <c r="H16" s="323"/>
      <c r="I16" s="323"/>
      <c r="J16" s="323"/>
      <c r="K16" s="323"/>
      <c r="L16" s="324"/>
      <c r="M16" s="311"/>
      <c r="N16" s="225"/>
    </row>
    <row r="17" spans="1:14" ht="12.9" customHeight="1">
      <c r="A17" s="181" t="s">
        <v>1145</v>
      </c>
      <c r="B17" s="318"/>
      <c r="C17" s="306"/>
      <c r="D17" s="323"/>
      <c r="E17" s="323"/>
      <c r="F17" s="309"/>
      <c r="G17" s="323"/>
      <c r="H17" s="323"/>
      <c r="I17" s="323"/>
      <c r="J17" s="323"/>
      <c r="K17" s="323"/>
      <c r="L17" s="324"/>
      <c r="M17" s="308">
        <f>C17</f>
        <v>0</v>
      </c>
      <c r="N17" s="225"/>
    </row>
    <row r="18" spans="1:14" ht="12.9" customHeight="1">
      <c r="A18" s="181" t="s">
        <v>1146</v>
      </c>
      <c r="B18" s="323"/>
      <c r="C18" s="323"/>
      <c r="D18" s="323"/>
      <c r="E18" s="323"/>
      <c r="F18" s="309"/>
      <c r="G18" s="323"/>
      <c r="H18" s="323"/>
      <c r="I18" s="323"/>
      <c r="J18" s="323"/>
      <c r="K18" s="323"/>
      <c r="L18" s="324"/>
      <c r="M18" s="311"/>
      <c r="N18" s="225"/>
    </row>
    <row r="19" spans="1:14" ht="12.9" customHeight="1">
      <c r="A19" s="181" t="s">
        <v>1194</v>
      </c>
      <c r="B19" s="323"/>
      <c r="C19" s="323"/>
      <c r="D19" s="323"/>
      <c r="E19" s="323"/>
      <c r="F19" s="309"/>
      <c r="G19" s="323"/>
      <c r="H19" s="323"/>
      <c r="I19" s="323"/>
      <c r="J19" s="323"/>
      <c r="K19" s="323"/>
      <c r="L19" s="324"/>
      <c r="M19" s="311"/>
      <c r="N19" s="225"/>
    </row>
    <row r="20" spans="1:14" ht="12.9" customHeight="1">
      <c r="A20" s="181" t="s">
        <v>1195</v>
      </c>
      <c r="B20" s="323"/>
      <c r="C20" s="323"/>
      <c r="D20" s="323"/>
      <c r="E20" s="323"/>
      <c r="F20" s="8"/>
      <c r="G20" s="323"/>
      <c r="H20" s="323"/>
      <c r="I20" s="323"/>
      <c r="J20" s="323"/>
      <c r="K20" s="323"/>
      <c r="L20" s="324"/>
      <c r="M20" s="311"/>
      <c r="N20" s="225"/>
    </row>
    <row r="21" spans="1:14" ht="12.9" customHeight="1">
      <c r="A21" s="181" t="s">
        <v>1149</v>
      </c>
      <c r="B21" s="323"/>
      <c r="C21" s="323"/>
      <c r="D21" s="323"/>
      <c r="E21" s="323"/>
      <c r="F21" s="8"/>
      <c r="G21" s="323"/>
      <c r="H21" s="323"/>
      <c r="I21" s="323"/>
      <c r="J21" s="323"/>
      <c r="K21" s="323"/>
      <c r="L21" s="324"/>
      <c r="M21" s="311"/>
      <c r="N21" s="225"/>
    </row>
    <row r="22" spans="1:14" ht="12.9" customHeight="1">
      <c r="A22" s="181" t="s">
        <v>1150</v>
      </c>
      <c r="B22" s="323"/>
      <c r="C22" s="323"/>
      <c r="D22" s="323"/>
      <c r="E22" s="323"/>
      <c r="F22" s="8"/>
      <c r="G22" s="323"/>
      <c r="H22" s="323"/>
      <c r="I22" s="323"/>
      <c r="J22" s="323"/>
      <c r="K22" s="323"/>
      <c r="L22" s="324"/>
      <c r="M22" s="311"/>
      <c r="N22" s="225"/>
    </row>
    <row r="23" spans="1:14" ht="12.9" customHeight="1">
      <c r="A23" s="181" t="s">
        <v>1151</v>
      </c>
      <c r="B23" s="323"/>
      <c r="C23" s="323"/>
      <c r="D23" s="323"/>
      <c r="E23" s="323"/>
      <c r="F23" s="8"/>
      <c r="G23" s="323"/>
      <c r="H23" s="323"/>
      <c r="I23" s="323"/>
      <c r="J23" s="323"/>
      <c r="K23" s="323"/>
      <c r="L23" s="324"/>
      <c r="M23" s="311"/>
      <c r="N23" s="225"/>
    </row>
    <row r="24" spans="1:14" ht="12.9" customHeight="1">
      <c r="A24" s="181" t="s">
        <v>1152</v>
      </c>
      <c r="B24" s="323"/>
      <c r="C24" s="323"/>
      <c r="D24" s="323"/>
      <c r="E24" s="323"/>
      <c r="F24" s="8"/>
      <c r="G24" s="323"/>
      <c r="H24" s="323"/>
      <c r="I24" s="323"/>
      <c r="J24" s="323"/>
      <c r="K24" s="323"/>
      <c r="L24" s="324"/>
      <c r="M24" s="311"/>
      <c r="N24" s="225"/>
    </row>
    <row r="25" spans="1:14" ht="12.9" customHeight="1">
      <c r="A25" s="191" t="s">
        <v>1196</v>
      </c>
      <c r="B25" s="323"/>
      <c r="C25" s="323"/>
      <c r="D25" s="323"/>
      <c r="E25" s="323"/>
      <c r="F25" s="8"/>
      <c r="G25" s="323"/>
      <c r="H25" s="323"/>
      <c r="I25" s="323"/>
      <c r="J25" s="323"/>
      <c r="K25" s="323"/>
      <c r="L25" s="324"/>
      <c r="M25" s="311"/>
      <c r="N25" s="225"/>
    </row>
    <row r="26" spans="1:14" ht="12.9" customHeight="1">
      <c r="A26" s="181" t="s">
        <v>1197</v>
      </c>
      <c r="B26" s="323"/>
      <c r="C26" s="323"/>
      <c r="D26" s="323"/>
      <c r="E26" s="323"/>
      <c r="F26" s="8"/>
      <c r="G26" s="323"/>
      <c r="H26" s="323"/>
      <c r="I26" s="323"/>
      <c r="J26" s="323"/>
      <c r="K26" s="323"/>
      <c r="L26" s="324"/>
      <c r="M26" s="311"/>
      <c r="N26" s="225"/>
    </row>
    <row r="27" spans="1:14" ht="12.9" customHeight="1">
      <c r="A27" s="181"/>
      <c r="B27" s="323"/>
      <c r="C27" s="323"/>
      <c r="D27" s="323"/>
      <c r="E27" s="323"/>
      <c r="F27" s="8"/>
      <c r="G27" s="323"/>
      <c r="H27" s="323"/>
      <c r="I27" s="323"/>
      <c r="J27" s="323"/>
      <c r="K27" s="323"/>
      <c r="L27" s="324"/>
      <c r="M27" s="311"/>
      <c r="N27" s="225"/>
    </row>
    <row r="28" spans="1:14" ht="12.9" customHeight="1">
      <c r="A28" s="181"/>
      <c r="B28" s="323"/>
      <c r="C28" s="323"/>
      <c r="D28" s="323"/>
      <c r="E28" s="323"/>
      <c r="F28" s="8"/>
      <c r="G28" s="323"/>
      <c r="H28" s="323"/>
      <c r="I28" s="323"/>
      <c r="J28" s="323"/>
      <c r="K28" s="323"/>
      <c r="L28" s="324"/>
      <c r="M28" s="311"/>
      <c r="N28" s="225"/>
    </row>
    <row r="29" spans="1:14" ht="12.9" customHeight="1">
      <c r="A29" s="181"/>
      <c r="B29" s="323"/>
      <c r="C29" s="323"/>
      <c r="D29" s="323"/>
      <c r="E29" s="323"/>
      <c r="F29" s="8"/>
      <c r="G29" s="323"/>
      <c r="H29" s="323"/>
      <c r="I29" s="323"/>
      <c r="J29" s="323"/>
      <c r="K29" s="323"/>
      <c r="L29" s="324"/>
      <c r="M29" s="311"/>
      <c r="N29" s="225"/>
    </row>
    <row r="30" spans="1:14" ht="12.9" customHeight="1">
      <c r="A30" s="181"/>
      <c r="B30" s="323"/>
      <c r="C30" s="323"/>
      <c r="D30" s="323"/>
      <c r="E30" s="323"/>
      <c r="F30" s="8"/>
      <c r="G30" s="323"/>
      <c r="H30" s="323"/>
      <c r="I30" s="323"/>
      <c r="J30" s="323"/>
      <c r="K30" s="323"/>
      <c r="L30" s="324"/>
      <c r="M30" s="311"/>
      <c r="N30" s="225"/>
    </row>
    <row r="31" spans="1:14" ht="12.9" customHeight="1">
      <c r="A31" s="181"/>
      <c r="B31" s="323"/>
      <c r="C31" s="323"/>
      <c r="D31" s="323"/>
      <c r="E31" s="323"/>
      <c r="F31" s="8"/>
      <c r="G31" s="323"/>
      <c r="H31" s="323"/>
      <c r="I31" s="323"/>
      <c r="J31" s="323"/>
      <c r="K31" s="323"/>
      <c r="L31" s="324"/>
      <c r="M31" s="311"/>
      <c r="N31" s="225"/>
    </row>
    <row r="32" spans="1:14" ht="12.9" customHeight="1">
      <c r="A32" s="181"/>
      <c r="B32" s="323"/>
      <c r="C32" s="323"/>
      <c r="D32" s="323"/>
      <c r="E32" s="323"/>
      <c r="F32" s="8"/>
      <c r="G32" s="323"/>
      <c r="H32" s="323"/>
      <c r="I32" s="323"/>
      <c r="J32" s="323"/>
      <c r="K32" s="323"/>
      <c r="L32" s="324"/>
      <c r="M32" s="311"/>
      <c r="N32" s="225"/>
    </row>
    <row r="33" spans="1:14" ht="12.9" customHeight="1">
      <c r="A33" s="181"/>
      <c r="B33" s="323"/>
      <c r="C33" s="323"/>
      <c r="D33" s="323"/>
      <c r="E33" s="323"/>
      <c r="F33" s="8"/>
      <c r="G33" s="323"/>
      <c r="H33" s="323"/>
      <c r="I33" s="323"/>
      <c r="J33" s="323"/>
      <c r="K33" s="323"/>
      <c r="L33" s="324"/>
      <c r="M33" s="311"/>
      <c r="N33" s="225"/>
    </row>
    <row r="34" spans="1:14" s="15" customFormat="1" ht="12.9" customHeight="1" thickBot="1">
      <c r="A34" s="192"/>
      <c r="B34" s="314"/>
      <c r="C34" s="314"/>
      <c r="D34" s="314"/>
      <c r="E34" s="314"/>
      <c r="F34" s="228"/>
      <c r="G34" s="314"/>
      <c r="H34" s="314"/>
      <c r="I34" s="314"/>
      <c r="J34" s="314"/>
      <c r="K34" s="314"/>
      <c r="L34" s="314"/>
      <c r="M34" s="315">
        <f>SUM(M10:M30)</f>
        <v>0</v>
      </c>
      <c r="N34" s="225"/>
    </row>
    <row r="35" spans="1:14" s="15" customFormat="1" ht="12.9" customHeight="1" thickTop="1" thickBot="1">
      <c r="A35" s="193" t="s">
        <v>210</v>
      </c>
      <c r="B35" s="316">
        <f>SUM(B10:B26)</f>
        <v>0</v>
      </c>
      <c r="C35" s="316">
        <f t="shared" ref="C35:L35" si="0">SUM(C10:C26)</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522">
        <f>C35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15"/>
      <c r="B38" s="147"/>
      <c r="C38" s="147"/>
      <c r="D38" s="147"/>
      <c r="E38" s="147"/>
      <c r="F38" s="147"/>
      <c r="G38" s="147"/>
      <c r="H38" s="147"/>
      <c r="I38" s="147"/>
      <c r="J38" s="147"/>
      <c r="K38" s="147"/>
      <c r="L38" s="147"/>
      <c r="M38" s="62"/>
    </row>
    <row r="39" spans="1:14" ht="12.9" customHeight="1">
      <c r="A39" s="15"/>
      <c r="B39" s="147"/>
      <c r="C39" s="147"/>
      <c r="D39" s="147"/>
      <c r="E39" s="147"/>
      <c r="F39" s="147"/>
      <c r="G39" s="147"/>
      <c r="H39" s="147"/>
      <c r="I39" s="147"/>
      <c r="J39" s="147"/>
      <c r="K39" s="147"/>
      <c r="L39" s="147"/>
      <c r="M39" s="62"/>
    </row>
    <row r="40" spans="1:14" ht="12.9" customHeight="1">
      <c r="A40" s="15"/>
      <c r="B40" s="147"/>
      <c r="C40" s="147"/>
      <c r="D40" s="147"/>
      <c r="E40" s="147"/>
      <c r="F40" s="147"/>
      <c r="G40" s="147"/>
      <c r="H40" s="147"/>
      <c r="I40" s="147"/>
      <c r="J40" s="147"/>
      <c r="K40" s="147"/>
      <c r="L40" s="147"/>
      <c r="M40" s="62"/>
    </row>
    <row r="41" spans="1:14" ht="12.9" customHeight="1">
      <c r="A41" s="1"/>
      <c r="B41" s="15"/>
      <c r="C41" s="15"/>
      <c r="D41" s="15"/>
      <c r="E41" s="15"/>
      <c r="F41" s="15"/>
      <c r="G41" s="15"/>
      <c r="H41" s="15"/>
      <c r="I41" s="15"/>
      <c r="J41" s="15"/>
      <c r="K41" s="15"/>
      <c r="L41" s="15"/>
      <c r="M41" s="62"/>
    </row>
    <row r="42" spans="1:14" ht="12.9" customHeight="1">
      <c r="A42" s="15"/>
      <c r="B42" s="15"/>
      <c r="C42" s="15"/>
      <c r="D42" s="15"/>
      <c r="E42" s="15"/>
      <c r="F42" s="15"/>
      <c r="G42" s="15"/>
      <c r="H42" s="15"/>
      <c r="I42" s="15"/>
      <c r="J42" s="15"/>
      <c r="K42" s="15"/>
      <c r="L42" s="15"/>
      <c r="M42" s="168"/>
    </row>
    <row r="43" spans="1:14" ht="12.9" customHeight="1">
      <c r="A43" s="15" t="s">
        <v>1161</v>
      </c>
      <c r="B43" s="147" t="e">
        <f>(F6-C35)</f>
        <v>#N/A</v>
      </c>
      <c r="C43" s="610" t="e">
        <f>IF(F6-C35&lt;0,"Not Ok - You are over budget on expenditures.","")</f>
        <v>#N/A</v>
      </c>
      <c r="D43" s="611"/>
      <c r="E43" s="611"/>
      <c r="F43" s="574"/>
      <c r="G43" s="15"/>
      <c r="H43" s="15"/>
      <c r="I43" s="15"/>
      <c r="J43" s="15"/>
      <c r="K43" s="15"/>
      <c r="L43" s="15"/>
      <c r="M43" s="368" t="str">
        <f>IF(ISNUMBER(SEARCH("Not Ok",C43)), "X", "")</f>
        <v/>
      </c>
      <c r="N43" s="166"/>
    </row>
    <row r="44" spans="1:14" ht="12.9" customHeight="1">
      <c r="A44" s="15"/>
      <c r="B44" s="159"/>
      <c r="C44" s="601"/>
      <c r="D44" s="601"/>
      <c r="E44" s="601"/>
      <c r="F44" s="601"/>
      <c r="G44" s="601"/>
      <c r="H44" s="601"/>
      <c r="I44" s="601"/>
      <c r="J44" s="601"/>
      <c r="K44" s="601"/>
      <c r="L44" s="601"/>
      <c r="M44" s="368"/>
      <c r="N44" s="17"/>
    </row>
    <row r="45" spans="1:14" ht="12.9" customHeight="1">
      <c r="A45" s="15"/>
      <c r="B45" s="159"/>
      <c r="C45" s="601"/>
      <c r="D45" s="602"/>
      <c r="E45" s="602"/>
      <c r="F45" s="602"/>
      <c r="G45" s="602"/>
      <c r="H45" s="602"/>
      <c r="I45" s="602"/>
      <c r="J45" s="15"/>
      <c r="K45" s="15"/>
      <c r="L45" s="15"/>
      <c r="M45" s="368"/>
    </row>
    <row r="46" spans="1:14" ht="12.9" customHeight="1">
      <c r="A46" s="15"/>
      <c r="B46" s="159"/>
      <c r="C46" s="601"/>
      <c r="D46" s="601"/>
      <c r="E46" s="601"/>
      <c r="F46" s="601"/>
      <c r="G46" s="601"/>
      <c r="H46" s="601"/>
      <c r="I46" s="601"/>
      <c r="J46" s="601"/>
      <c r="K46" s="601"/>
      <c r="L46" s="601"/>
      <c r="M46" s="368"/>
      <c r="N46" s="17"/>
    </row>
    <row r="47" spans="1:14" ht="12.9" customHeight="1">
      <c r="A47" s="15"/>
      <c r="B47" s="147"/>
      <c r="C47" s="601"/>
      <c r="D47" s="602"/>
      <c r="E47" s="602"/>
      <c r="F47" s="602"/>
      <c r="G47" s="602"/>
      <c r="H47" s="602"/>
      <c r="I47" s="602"/>
      <c r="J47" s="15"/>
      <c r="K47" s="15"/>
      <c r="L47" s="15"/>
      <c r="M47" s="368"/>
    </row>
    <row r="48" spans="1:14" ht="12.9" customHeight="1">
      <c r="A48" s="15"/>
      <c r="B48" s="147"/>
      <c r="C48" s="15"/>
      <c r="D48" s="15"/>
      <c r="E48" s="15"/>
      <c r="F48" s="15"/>
      <c r="G48" s="15"/>
      <c r="H48" s="15"/>
      <c r="I48" s="15"/>
      <c r="J48" s="15"/>
      <c r="K48" s="15"/>
      <c r="L48" s="15"/>
      <c r="M48" s="368"/>
    </row>
    <row r="49" spans="1:18" ht="12.9" customHeight="1">
      <c r="A49" s="15"/>
      <c r="B49" s="147"/>
      <c r="C49" s="600"/>
      <c r="D49" s="600"/>
      <c r="E49" s="600"/>
      <c r="F49" s="600"/>
      <c r="G49" s="600"/>
      <c r="H49" s="600"/>
      <c r="I49" s="600"/>
      <c r="J49" s="15"/>
      <c r="K49" s="15"/>
      <c r="L49" s="15"/>
      <c r="M49" s="368" t="str">
        <f t="shared" ref="M49:M52" si="1">IF(ISNUMBER(SEARCH("Not Ok",C49)), "X", "")</f>
        <v/>
      </c>
      <c r="O49" s="397"/>
      <c r="P49" s="397"/>
      <c r="Q49" s="397"/>
      <c r="R49" s="397"/>
    </row>
    <row r="50" spans="1:18" s="15" customFormat="1" ht="12.9" customHeight="1">
      <c r="B50" s="227"/>
      <c r="C50" s="600"/>
      <c r="D50" s="574"/>
      <c r="E50" s="574"/>
      <c r="F50" s="574"/>
      <c r="G50" s="574"/>
      <c r="H50" s="574"/>
      <c r="I50" s="574"/>
      <c r="J50" s="574"/>
      <c r="K50" s="574"/>
      <c r="M50" s="368"/>
      <c r="N50" s="146"/>
      <c r="O50" s="146"/>
      <c r="P50" s="146"/>
      <c r="Q50" s="146"/>
      <c r="R50" s="146"/>
    </row>
    <row r="51" spans="1:18" s="15" customFormat="1" ht="12.9" customHeight="1">
      <c r="A51" s="15" t="e">
        <f>IF(B51="x","Non-Submission Period","")</f>
        <v>#N/A</v>
      </c>
      <c r="B51" s="227" t="e">
        <f>IF(AND(D4="Non-Submission Period",C35&gt;0),"X","")</f>
        <v>#N/A</v>
      </c>
      <c r="C51" s="600" t="e">
        <f>IF(B51="x","Not Ok - You cannot claim against this contract as this is a Non-Submission Period for the contract.","")</f>
        <v>#N/A</v>
      </c>
      <c r="D51" s="574"/>
      <c r="E51" s="574"/>
      <c r="F51" s="574"/>
      <c r="G51" s="574"/>
      <c r="H51" s="574"/>
      <c r="I51" s="574"/>
      <c r="M51" s="368" t="str">
        <f t="shared" si="1"/>
        <v/>
      </c>
    </row>
    <row r="52" spans="1:18" ht="15" customHeight="1">
      <c r="A52" s="397"/>
      <c r="B52" s="397"/>
      <c r="C52" s="600" t="str">
        <f>IF(B52="x","Not Ok - You cannot claim more in current year program income expended than has been received.","")</f>
        <v/>
      </c>
      <c r="D52" s="574"/>
      <c r="E52" s="574"/>
      <c r="F52" s="574"/>
      <c r="G52" s="574"/>
      <c r="H52" s="574"/>
      <c r="I52" s="574"/>
      <c r="J52" s="574"/>
      <c r="K52" s="574"/>
      <c r="L52" s="15"/>
      <c r="M52" s="368" t="str">
        <f t="shared" si="1"/>
        <v/>
      </c>
      <c r="O52" s="397"/>
      <c r="P52" s="397"/>
      <c r="Q52" s="397"/>
      <c r="R52" s="397"/>
    </row>
    <row r="53" spans="1:18" ht="15" customHeight="1">
      <c r="A53" s="397"/>
      <c r="B53" s="397"/>
      <c r="C53" s="15"/>
      <c r="D53" s="15"/>
      <c r="E53" s="15"/>
      <c r="F53" s="15"/>
      <c r="G53" s="15"/>
      <c r="H53" s="15"/>
      <c r="I53" s="15"/>
      <c r="J53" s="15"/>
      <c r="K53" s="15"/>
      <c r="L53" s="15"/>
      <c r="O53" s="397"/>
      <c r="P53" s="397"/>
      <c r="Q53" s="397"/>
      <c r="R53" s="397"/>
    </row>
  </sheetData>
  <sheetProtection password="C3C4" sheet="1" objects="1" scenarios="1"/>
  <customSheetViews>
    <customSheetView guid="{89953FCB-456A-4C2D-8912-B30825F750D3}" fitToPage="1">
      <selection activeCell="F20" sqref="F20"/>
      <pageMargins left="0" right="0" top="0" bottom="0" header="0" footer="0"/>
      <pageSetup scale="82" orientation="landscape" r:id="rId1"/>
      <headerFooter alignWithMargins="0"/>
    </customSheetView>
  </customSheetViews>
  <mergeCells count="19">
    <mergeCell ref="C52:K52"/>
    <mergeCell ref="C51:I51"/>
    <mergeCell ref="C44:L44"/>
    <mergeCell ref="K3:L3"/>
    <mergeCell ref="C45:I45"/>
    <mergeCell ref="C46:L46"/>
    <mergeCell ref="C47:I47"/>
    <mergeCell ref="C49:I49"/>
    <mergeCell ref="C50:K50"/>
    <mergeCell ref="A1:C1"/>
    <mergeCell ref="A2:B2"/>
    <mergeCell ref="C43:F43"/>
    <mergeCell ref="E5:F5"/>
    <mergeCell ref="A7:L7"/>
    <mergeCell ref="B8:J8"/>
    <mergeCell ref="K1:L1"/>
    <mergeCell ref="K2:L2"/>
    <mergeCell ref="E3:F3"/>
    <mergeCell ref="D4:F4"/>
  </mergeCells>
  <phoneticPr fontId="3" type="noConversion"/>
  <conditionalFormatting sqref="M42">
    <cfRule type="cellIs" dxfId="689" priority="63" stopIfTrue="1" operator="equal">
      <formula>"You are over budget on expenditures."</formula>
    </cfRule>
  </conditionalFormatting>
  <conditionalFormatting sqref="M42">
    <cfRule type="containsText" dxfId="688" priority="62" operator="containsText" text="Not Ok">
      <formula>NOT(ISERROR(SEARCH("Not Ok",M42)))</formula>
    </cfRule>
  </conditionalFormatting>
  <conditionalFormatting sqref="B38:B39">
    <cfRule type="cellIs" dxfId="687" priority="53" stopIfTrue="1" operator="equal">
      <formula>"You cannot claim against this contract until all prior year program income has been expended."</formula>
    </cfRule>
  </conditionalFormatting>
  <conditionalFormatting sqref="N45:N47">
    <cfRule type="containsText" dxfId="686" priority="30" stopIfTrue="1" operator="containsText" text="Not Ok">
      <formula>NOT(ISERROR(SEARCH("Not Ok",N45)))</formula>
    </cfRule>
  </conditionalFormatting>
  <conditionalFormatting sqref="N43:N47">
    <cfRule type="containsText" dxfId="685" priority="29" operator="containsText" text="Not Ok">
      <formula>NOT(ISERROR(SEARCH("Not Ok",N43)))</formula>
    </cfRule>
  </conditionalFormatting>
  <conditionalFormatting sqref="M14 M17">
    <cfRule type="containsText" dxfId="684" priority="17" operator="containsText" text="#">
      <formula>NOT(ISERROR(SEARCH("#",M14)))</formula>
    </cfRule>
  </conditionalFormatting>
  <conditionalFormatting sqref="B36:L36">
    <cfRule type="containsText" dxfId="683" priority="16" operator="containsText" text="Error">
      <formula>NOT(ISERROR(SEARCH("Error",B36)))</formula>
    </cfRule>
  </conditionalFormatting>
  <conditionalFormatting sqref="A36">
    <cfRule type="containsText" dxfId="682" priority="15" operator="containsText" text="Enter">
      <formula>NOT(ISERROR(SEARCH("Enter",A36)))</formula>
    </cfRule>
  </conditionalFormatting>
  <conditionalFormatting sqref="B50">
    <cfRule type="cellIs" dxfId="681" priority="14" stopIfTrue="1" operator="equal">
      <formula>"You cannot claim against this contract until all prior year program income has been expended."</formula>
    </cfRule>
  </conditionalFormatting>
  <conditionalFormatting sqref="C43:L49 C51:L51 C50:I50 L50">
    <cfRule type="containsText" dxfId="680" priority="9" operator="containsText" text="Not Ok">
      <formula>NOT(ISERROR(SEARCH("Not Ok",C43)))</formula>
    </cfRule>
  </conditionalFormatting>
  <conditionalFormatting sqref="C52:I52 L52">
    <cfRule type="containsText" dxfId="679" priority="8" operator="containsText" text="Not Ok">
      <formula>NOT(ISERROR(SEARCH("Not Ok",C52)))</formula>
    </cfRule>
  </conditionalFormatting>
  <conditionalFormatting sqref="N1">
    <cfRule type="containsText" dxfId="678" priority="7" operator="containsText" text="End">
      <formula>NOT(ISERROR(SEARCH("End",N1)))</formula>
    </cfRule>
  </conditionalFormatting>
  <conditionalFormatting sqref="N1">
    <cfRule type="containsText" dxfId="677" priority="6" operator="containsText" text="End">
      <formula>NOT(ISERROR(SEARCH("End",N1)))</formula>
    </cfRule>
  </conditionalFormatting>
  <conditionalFormatting sqref="N2">
    <cfRule type="containsText" dxfId="676" priority="5" operator="containsText" text="Please">
      <formula>NOT(ISERROR(SEARCH("Please",N2)))</formula>
    </cfRule>
  </conditionalFormatting>
  <conditionalFormatting sqref="A1">
    <cfRule type="containsText" dxfId="675" priority="4" operator="containsText" text="End">
      <formula>NOT(ISERROR(SEARCH("End",A1)))</formula>
    </cfRule>
  </conditionalFormatting>
  <conditionalFormatting sqref="A1">
    <cfRule type="containsText" dxfId="674" priority="3" operator="containsText" text="End">
      <formula>NOT(ISERROR(SEARCH("End",A1)))</formula>
    </cfRule>
  </conditionalFormatting>
  <conditionalFormatting sqref="A2:B2">
    <cfRule type="containsText" dxfId="673" priority="2" operator="containsText" text="Please">
      <formula>NOT(ISERROR(SEARCH("Please",A2)))</formula>
    </cfRule>
  </conditionalFormatting>
  <conditionalFormatting sqref="M35">
    <cfRule type="containsText" dxfId="672" priority="1" operator="containsText" text="#">
      <formula>NOT(ISERROR(SEARCH("#",M35)))</formula>
    </cfRule>
  </conditionalFormatting>
  <dataValidations count="2">
    <dataValidation type="whole" allowBlank="1" showInputMessage="1" showErrorMessage="1" errorTitle="Whole Number Validation" error="You must enter all dollars as whole numbers - no decimals (cents) or spaces." sqref="B18:E19 B12:E13" xr:uid="{DBF34E12-A312-44D1-A4DE-C4BE2E7797A0}">
      <formula1>0</formula1>
      <formula2>1000000</formula2>
    </dataValidation>
    <dataValidation type="whole" allowBlank="1" showInputMessage="1" showErrorMessage="1" errorTitle="Whole Number Validation" error="You must enter all dollars as whole numbers - no decimals (cents) or spaces." sqref="B14:E17" xr:uid="{89042DE3-36BC-48FB-A982-FBD8FC9D7DD5}">
      <formula1>-1000000</formula1>
      <formula2>1000000</formula2>
    </dataValidation>
  </dataValidations>
  <pageMargins left="0.25" right="0.25" top="0.25" bottom="0.25" header="0" footer="0"/>
  <pageSetup scale="73"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R53"/>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31.6640625" customWidth="1"/>
    <col min="2" max="12" width="12.6640625" customWidth="1"/>
    <col min="13" max="13" width="15.6640625" style="15" customWidth="1"/>
    <col min="14" max="14" width="9.109375" style="15"/>
  </cols>
  <sheetData>
    <row r="1" spans="1:14" s="13" customFormat="1" ht="15" customHeight="1">
      <c r="A1" s="601" t="str">
        <f>IF(AND(G5="x",OR(M43="x",M44="x",M45="x",M46="x",M47="x",M50="x",M51="x",M36="x",M52="x")),"End of Year approaching, please address errors listed below.","")</f>
        <v/>
      </c>
      <c r="B1" s="601"/>
      <c r="C1" s="601"/>
      <c r="D1" s="15"/>
      <c r="E1" s="15"/>
      <c r="F1" s="156"/>
      <c r="G1" s="15"/>
      <c r="H1" s="15"/>
      <c r="I1" s="15"/>
      <c r="J1" s="15"/>
      <c r="K1" s="604" t="s">
        <v>1204</v>
      </c>
      <c r="L1" s="572"/>
      <c r="M1" s="15"/>
      <c r="N1" s="167" t="str">
        <f>IF(AND(G5="x",OR(M43="x",M44="x",M45="x",M46="x",M47="x",M50="x",M51="x",M36="x",M52="x")),"x","")</f>
        <v/>
      </c>
    </row>
    <row r="2" spans="1:14" s="13" customFormat="1" ht="15" customHeight="1">
      <c r="A2" s="601" t="str">
        <f>IF(G5="x","",IF(OR(M50="x",M51="x",M36="x",M43="x",M52="x"),"Please address the errors listed below.",""))</f>
        <v/>
      </c>
      <c r="B2" s="574"/>
      <c r="C2" s="15"/>
      <c r="D2" s="15"/>
      <c r="E2" s="15"/>
      <c r="F2" s="156" t="s">
        <v>1121</v>
      </c>
      <c r="G2" s="15"/>
      <c r="H2" s="15"/>
      <c r="I2" s="15"/>
      <c r="J2" s="15"/>
      <c r="K2" s="603" t="s">
        <v>1205</v>
      </c>
      <c r="L2" s="572"/>
      <c r="M2" s="15"/>
      <c r="N2" s="167" t="str">
        <f>IF(G5="x","",IF(OR(M50="x",M51="x",M36="x",M43="x",M52="x"),"x",""))</f>
        <v/>
      </c>
    </row>
    <row r="3" spans="1:14" s="13" customFormat="1" ht="15" customHeight="1">
      <c r="A3" s="17" t="s">
        <v>1123</v>
      </c>
      <c r="B3" s="15"/>
      <c r="C3" s="15"/>
      <c r="D3" s="15"/>
      <c r="E3" s="608" t="str">
        <f>'III-B - #11619'!E3:F3</f>
        <v>Menominee Tribe</v>
      </c>
      <c r="F3" s="608"/>
      <c r="G3" s="62"/>
      <c r="H3" s="15"/>
      <c r="I3" s="15"/>
      <c r="J3" s="15"/>
      <c r="K3" s="221" t="s">
        <v>1210</v>
      </c>
      <c r="L3" s="222"/>
      <c r="M3" s="15"/>
      <c r="N3" s="62"/>
    </row>
    <row r="4" spans="1:14" s="13" customFormat="1" ht="15" customHeight="1">
      <c r="A4" s="17" t="s">
        <v>1125</v>
      </c>
      <c r="B4" s="15"/>
      <c r="C4" s="15"/>
      <c r="D4" s="608" t="e">
        <f>LOOKUP(E5,Date,'Addl Info'!C21:C33)</f>
        <v>#N/A</v>
      </c>
      <c r="E4" s="609"/>
      <c r="F4" s="609"/>
      <c r="G4" s="62"/>
      <c r="H4" s="15"/>
      <c r="I4" s="15"/>
      <c r="J4" s="15"/>
      <c r="K4" s="15"/>
      <c r="L4" s="15"/>
      <c r="M4" s="15"/>
      <c r="N4" s="15"/>
    </row>
    <row r="5" spans="1:14" s="13" customFormat="1" ht="15" customHeight="1">
      <c r="A5" s="17" t="s">
        <v>1126</v>
      </c>
      <c r="B5" s="15"/>
      <c r="C5" s="15"/>
      <c r="D5" s="15"/>
      <c r="E5" s="608" t="str">
        <f>'III-B - #11619'!E5:F5</f>
        <v/>
      </c>
      <c r="F5" s="608"/>
      <c r="G5" s="62" t="str">
        <f>IF(OR(E5="July 2019",E5="August 2019",E5="September 2019",E5="Final Submission 2019"),"x","")</f>
        <v/>
      </c>
      <c r="H5" s="15"/>
      <c r="I5" s="15"/>
      <c r="J5" s="15"/>
      <c r="K5" s="15"/>
      <c r="L5" s="15"/>
      <c r="M5" s="15"/>
      <c r="N5" s="15"/>
    </row>
    <row r="6" spans="1:14" s="13" customFormat="1" ht="15" customHeight="1">
      <c r="A6" s="17" t="s">
        <v>1127</v>
      </c>
      <c r="B6" s="15"/>
      <c r="C6" s="15"/>
      <c r="D6" s="15"/>
      <c r="E6" s="15"/>
      <c r="F6" s="16" t="e">
        <f>IF(D4="Non-Submission Period",0,LOOKUP(E3,CAUTAU,Allocations!M4:M92))</f>
        <v>#N/A</v>
      </c>
      <c r="G6" s="62"/>
      <c r="H6" s="15"/>
      <c r="I6" s="15"/>
      <c r="J6" s="15"/>
      <c r="K6" s="15"/>
      <c r="L6" s="15"/>
      <c r="M6" s="15"/>
      <c r="N6" s="15"/>
    </row>
    <row r="7" spans="1:14" ht="15" customHeight="1">
      <c r="A7" s="606"/>
      <c r="B7" s="607"/>
      <c r="C7" s="607"/>
      <c r="D7" s="607"/>
      <c r="E7" s="607"/>
      <c r="F7" s="607"/>
      <c r="G7" s="607"/>
      <c r="H7" s="607"/>
      <c r="I7" s="607"/>
      <c r="J7" s="607"/>
      <c r="K7" s="607"/>
      <c r="L7" s="607"/>
    </row>
    <row r="8" spans="1:14" s="2" customFormat="1" ht="15" customHeight="1" thickBot="1">
      <c r="A8" s="1"/>
      <c r="B8" s="605" t="s">
        <v>1211</v>
      </c>
      <c r="C8" s="605"/>
      <c r="D8" s="605"/>
      <c r="E8" s="605"/>
      <c r="F8" s="605"/>
      <c r="G8" s="605"/>
      <c r="H8" s="605"/>
      <c r="I8" s="605"/>
      <c r="J8" s="605"/>
    </row>
    <row r="9" spans="1:14" ht="77.099999999999994" customHeight="1">
      <c r="A9" s="187" t="s">
        <v>1128</v>
      </c>
      <c r="B9" s="179" t="s">
        <v>1208</v>
      </c>
      <c r="C9" s="180" t="s">
        <v>1209</v>
      </c>
      <c r="D9" s="179" t="s">
        <v>1131</v>
      </c>
      <c r="E9" s="179" t="s">
        <v>1132</v>
      </c>
      <c r="F9" s="188" t="s">
        <v>1133</v>
      </c>
      <c r="G9" s="179" t="s">
        <v>1134</v>
      </c>
      <c r="H9" s="179" t="s">
        <v>1135</v>
      </c>
      <c r="I9" s="179" t="s">
        <v>321</v>
      </c>
      <c r="J9" s="179" t="s">
        <v>325</v>
      </c>
      <c r="K9" s="179" t="s">
        <v>1136</v>
      </c>
      <c r="L9" s="190" t="s">
        <v>1137</v>
      </c>
      <c r="M9" s="154" t="s">
        <v>331</v>
      </c>
    </row>
    <row r="10" spans="1:14" ht="12.9" customHeight="1">
      <c r="A10" s="181" t="s">
        <v>1138</v>
      </c>
      <c r="B10" s="8"/>
      <c r="C10" s="8"/>
      <c r="D10" s="8"/>
      <c r="E10" s="8"/>
      <c r="F10" s="309"/>
      <c r="G10" s="8"/>
      <c r="H10" s="8"/>
      <c r="I10" s="8"/>
      <c r="J10" s="8"/>
      <c r="K10" s="8"/>
      <c r="L10" s="195"/>
      <c r="M10" s="158"/>
      <c r="N10" s="225"/>
    </row>
    <row r="11" spans="1:14" ht="12.9" customHeight="1">
      <c r="A11" s="181" t="s">
        <v>1139</v>
      </c>
      <c r="B11" s="8"/>
      <c r="C11" s="8"/>
      <c r="D11" s="8"/>
      <c r="E11" s="8"/>
      <c r="F11" s="309"/>
      <c r="G11" s="8"/>
      <c r="H11" s="8"/>
      <c r="I11" s="8"/>
      <c r="J11" s="8"/>
      <c r="K11" s="8"/>
      <c r="L11" s="195"/>
      <c r="M11" s="158"/>
      <c r="N11" s="225"/>
    </row>
    <row r="12" spans="1:14" ht="12.9" customHeight="1">
      <c r="A12" s="181" t="s">
        <v>1140</v>
      </c>
      <c r="B12" s="8"/>
      <c r="C12" s="8"/>
      <c r="D12" s="8"/>
      <c r="E12" s="8"/>
      <c r="F12" s="309"/>
      <c r="G12" s="8"/>
      <c r="H12" s="8"/>
      <c r="I12" s="8"/>
      <c r="J12" s="8"/>
      <c r="K12" s="8"/>
      <c r="L12" s="195"/>
      <c r="M12" s="158"/>
      <c r="N12" s="225"/>
    </row>
    <row r="13" spans="1:14" ht="12.9" customHeight="1">
      <c r="A13" s="181" t="s">
        <v>1141</v>
      </c>
      <c r="B13" s="8"/>
      <c r="C13" s="8"/>
      <c r="D13" s="8"/>
      <c r="E13" s="8"/>
      <c r="F13" s="309"/>
      <c r="G13" s="8"/>
      <c r="H13" s="8"/>
      <c r="I13" s="8"/>
      <c r="J13" s="8"/>
      <c r="K13" s="8"/>
      <c r="L13" s="195"/>
      <c r="M13" s="158"/>
      <c r="N13" s="225"/>
    </row>
    <row r="14" spans="1:14" ht="12.9" customHeight="1">
      <c r="A14" s="181" t="s">
        <v>1142</v>
      </c>
      <c r="B14" s="3"/>
      <c r="C14" s="3"/>
      <c r="D14" s="8"/>
      <c r="E14" s="8"/>
      <c r="F14" s="309"/>
      <c r="G14" s="8"/>
      <c r="H14" s="8"/>
      <c r="I14" s="8"/>
      <c r="J14" s="8"/>
      <c r="K14" s="8"/>
      <c r="L14" s="195"/>
      <c r="M14" s="170">
        <f>C14</f>
        <v>0</v>
      </c>
      <c r="N14" s="225"/>
    </row>
    <row r="15" spans="1:14" ht="12.9" customHeight="1">
      <c r="A15" s="181" t="s">
        <v>1143</v>
      </c>
      <c r="B15" s="8"/>
      <c r="C15" s="8"/>
      <c r="D15" s="8"/>
      <c r="E15" s="8"/>
      <c r="F15" s="309"/>
      <c r="G15" s="8"/>
      <c r="H15" s="8"/>
      <c r="I15" s="8"/>
      <c r="J15" s="8"/>
      <c r="K15" s="8"/>
      <c r="L15" s="195"/>
      <c r="M15" s="158"/>
      <c r="N15" s="225"/>
    </row>
    <row r="16" spans="1:14" ht="12.9" customHeight="1">
      <c r="A16" s="181" t="s">
        <v>1144</v>
      </c>
      <c r="B16" s="8"/>
      <c r="C16" s="8"/>
      <c r="D16" s="8"/>
      <c r="E16" s="8"/>
      <c r="F16" s="309"/>
      <c r="G16" s="8"/>
      <c r="H16" s="8"/>
      <c r="I16" s="8"/>
      <c r="J16" s="8"/>
      <c r="K16" s="8"/>
      <c r="L16" s="195"/>
      <c r="M16" s="158"/>
      <c r="N16" s="225"/>
    </row>
    <row r="17" spans="1:14" ht="12.9" customHeight="1">
      <c r="A17" s="181" t="s">
        <v>1145</v>
      </c>
      <c r="B17" s="3"/>
      <c r="C17" s="157"/>
      <c r="D17" s="8"/>
      <c r="E17" s="8"/>
      <c r="F17" s="309"/>
      <c r="G17" s="8"/>
      <c r="H17" s="8"/>
      <c r="I17" s="8"/>
      <c r="J17" s="8"/>
      <c r="K17" s="8"/>
      <c r="L17" s="195"/>
      <c r="M17" s="170">
        <f>C17</f>
        <v>0</v>
      </c>
      <c r="N17" s="225"/>
    </row>
    <row r="18" spans="1:14" ht="12.9" customHeight="1">
      <c r="A18" s="181" t="s">
        <v>1146</v>
      </c>
      <c r="B18" s="8"/>
      <c r="C18" s="8"/>
      <c r="D18" s="8"/>
      <c r="E18" s="8"/>
      <c r="F18" s="309"/>
      <c r="G18" s="8"/>
      <c r="H18" s="8"/>
      <c r="I18" s="8"/>
      <c r="J18" s="8"/>
      <c r="K18" s="8"/>
      <c r="L18" s="195"/>
      <c r="M18" s="158"/>
      <c r="N18" s="225"/>
    </row>
    <row r="19" spans="1:14" ht="12.9" customHeight="1">
      <c r="A19" s="181" t="s">
        <v>1194</v>
      </c>
      <c r="B19" s="8"/>
      <c r="C19" s="8"/>
      <c r="D19" s="8"/>
      <c r="E19" s="8"/>
      <c r="F19" s="309"/>
      <c r="G19" s="8"/>
      <c r="H19" s="8"/>
      <c r="I19" s="8"/>
      <c r="J19" s="8"/>
      <c r="K19" s="8"/>
      <c r="L19" s="195"/>
      <c r="M19" s="158"/>
      <c r="N19" s="225"/>
    </row>
    <row r="20" spans="1:14" ht="12.9" customHeight="1">
      <c r="A20" s="181" t="s">
        <v>1195</v>
      </c>
      <c r="B20" s="8"/>
      <c r="C20" s="8"/>
      <c r="D20" s="8"/>
      <c r="E20" s="8"/>
      <c r="F20" s="8"/>
      <c r="G20" s="8"/>
      <c r="H20" s="8"/>
      <c r="I20" s="8"/>
      <c r="J20" s="8"/>
      <c r="K20" s="8"/>
      <c r="L20" s="195"/>
      <c r="M20" s="158"/>
      <c r="N20" s="225"/>
    </row>
    <row r="21" spans="1:14" ht="12.9" customHeight="1">
      <c r="A21" s="181" t="s">
        <v>1149</v>
      </c>
      <c r="B21" s="8"/>
      <c r="C21" s="8"/>
      <c r="D21" s="8"/>
      <c r="E21" s="8"/>
      <c r="F21" s="8"/>
      <c r="G21" s="8"/>
      <c r="H21" s="8"/>
      <c r="I21" s="8"/>
      <c r="J21" s="8"/>
      <c r="K21" s="8"/>
      <c r="L21" s="195"/>
      <c r="M21" s="158"/>
      <c r="N21" s="225"/>
    </row>
    <row r="22" spans="1:14" ht="12.9" customHeight="1">
      <c r="A22" s="181" t="s">
        <v>1150</v>
      </c>
      <c r="B22" s="8"/>
      <c r="C22" s="8"/>
      <c r="D22" s="8"/>
      <c r="E22" s="8"/>
      <c r="F22" s="8"/>
      <c r="G22" s="8"/>
      <c r="H22" s="8"/>
      <c r="I22" s="8"/>
      <c r="J22" s="8"/>
      <c r="K22" s="8"/>
      <c r="L22" s="195"/>
      <c r="M22" s="158"/>
      <c r="N22" s="225"/>
    </row>
    <row r="23" spans="1:14" ht="12.9" customHeight="1">
      <c r="A23" s="181" t="s">
        <v>1151</v>
      </c>
      <c r="B23" s="8"/>
      <c r="C23" s="8"/>
      <c r="D23" s="8"/>
      <c r="E23" s="8"/>
      <c r="F23" s="8"/>
      <c r="G23" s="8"/>
      <c r="H23" s="8"/>
      <c r="I23" s="8"/>
      <c r="J23" s="8"/>
      <c r="K23" s="8"/>
      <c r="L23" s="195"/>
      <c r="M23" s="158"/>
      <c r="N23" s="225"/>
    </row>
    <row r="24" spans="1:14" ht="12.9" customHeight="1">
      <c r="A24" s="181" t="s">
        <v>1152</v>
      </c>
      <c r="B24" s="8"/>
      <c r="C24" s="8"/>
      <c r="D24" s="8"/>
      <c r="E24" s="8"/>
      <c r="F24" s="8"/>
      <c r="G24" s="8"/>
      <c r="H24" s="8"/>
      <c r="I24" s="8"/>
      <c r="J24" s="8"/>
      <c r="K24" s="8"/>
      <c r="L24" s="195"/>
      <c r="M24" s="158"/>
      <c r="N24" s="225"/>
    </row>
    <row r="25" spans="1:14" ht="12.9" customHeight="1">
      <c r="A25" s="191" t="s">
        <v>1196</v>
      </c>
      <c r="B25" s="8"/>
      <c r="C25" s="8"/>
      <c r="D25" s="8"/>
      <c r="E25" s="8"/>
      <c r="F25" s="8"/>
      <c r="G25" s="8"/>
      <c r="H25" s="8"/>
      <c r="I25" s="8"/>
      <c r="J25" s="8"/>
      <c r="K25" s="8"/>
      <c r="L25" s="195"/>
      <c r="M25" s="158"/>
      <c r="N25" s="225"/>
    </row>
    <row r="26" spans="1:14" ht="12.9" customHeight="1">
      <c r="A26" s="181" t="s">
        <v>1197</v>
      </c>
      <c r="B26" s="8"/>
      <c r="C26" s="8"/>
      <c r="D26" s="8"/>
      <c r="E26" s="8"/>
      <c r="F26" s="8"/>
      <c r="G26" s="8"/>
      <c r="H26" s="8"/>
      <c r="I26" s="8"/>
      <c r="J26" s="8"/>
      <c r="K26" s="8"/>
      <c r="L26" s="195"/>
      <c r="M26" s="158"/>
      <c r="N26" s="225"/>
    </row>
    <row r="27" spans="1:14" ht="12.9" customHeight="1">
      <c r="A27" s="181"/>
      <c r="B27" s="8"/>
      <c r="C27" s="8"/>
      <c r="D27" s="8"/>
      <c r="E27" s="8"/>
      <c r="F27" s="8"/>
      <c r="G27" s="8"/>
      <c r="H27" s="8"/>
      <c r="I27" s="8"/>
      <c r="J27" s="8"/>
      <c r="K27" s="8"/>
      <c r="L27" s="195"/>
      <c r="M27" s="158"/>
      <c r="N27" s="225"/>
    </row>
    <row r="28" spans="1:14" ht="12.9" customHeight="1">
      <c r="A28" s="181"/>
      <c r="B28" s="8"/>
      <c r="C28" s="8"/>
      <c r="D28" s="8"/>
      <c r="E28" s="8"/>
      <c r="F28" s="8"/>
      <c r="G28" s="8"/>
      <c r="H28" s="8"/>
      <c r="I28" s="8"/>
      <c r="J28" s="8"/>
      <c r="K28" s="8"/>
      <c r="L28" s="195"/>
      <c r="M28" s="158"/>
      <c r="N28" s="225"/>
    </row>
    <row r="29" spans="1:14" ht="12.9" customHeight="1">
      <c r="A29" s="181"/>
      <c r="B29" s="8"/>
      <c r="C29" s="8"/>
      <c r="D29" s="8"/>
      <c r="E29" s="8"/>
      <c r="F29" s="8"/>
      <c r="G29" s="8"/>
      <c r="H29" s="8"/>
      <c r="I29" s="8"/>
      <c r="J29" s="8"/>
      <c r="K29" s="8"/>
      <c r="L29" s="195"/>
      <c r="M29" s="158"/>
      <c r="N29" s="225"/>
    </row>
    <row r="30" spans="1:14" ht="12.9" customHeight="1">
      <c r="A30" s="181"/>
      <c r="B30" s="8"/>
      <c r="C30" s="8"/>
      <c r="D30" s="8"/>
      <c r="E30" s="8"/>
      <c r="F30" s="8"/>
      <c r="G30" s="8"/>
      <c r="H30" s="8"/>
      <c r="I30" s="8"/>
      <c r="J30" s="8"/>
      <c r="K30" s="8"/>
      <c r="L30" s="195"/>
      <c r="M30" s="158"/>
      <c r="N30" s="225"/>
    </row>
    <row r="31" spans="1:14" ht="12.9" customHeight="1">
      <c r="A31" s="181"/>
      <c r="B31" s="8"/>
      <c r="C31" s="8"/>
      <c r="D31" s="8"/>
      <c r="E31" s="8"/>
      <c r="F31" s="8"/>
      <c r="G31" s="8"/>
      <c r="H31" s="8"/>
      <c r="I31" s="8"/>
      <c r="J31" s="8"/>
      <c r="K31" s="8"/>
      <c r="L31" s="195"/>
      <c r="M31" s="158"/>
      <c r="N31" s="225"/>
    </row>
    <row r="32" spans="1:14" ht="12.9" customHeight="1">
      <c r="A32" s="181"/>
      <c r="B32" s="8"/>
      <c r="C32" s="8"/>
      <c r="D32" s="8"/>
      <c r="E32" s="8"/>
      <c r="F32" s="8"/>
      <c r="G32" s="8"/>
      <c r="H32" s="8"/>
      <c r="I32" s="8"/>
      <c r="J32" s="8"/>
      <c r="K32" s="8"/>
      <c r="L32" s="195"/>
      <c r="M32" s="158"/>
      <c r="N32" s="225"/>
    </row>
    <row r="33" spans="1:14" ht="12.9" customHeight="1">
      <c r="A33" s="181"/>
      <c r="B33" s="8"/>
      <c r="C33" s="8"/>
      <c r="D33" s="8"/>
      <c r="E33" s="8"/>
      <c r="F33" s="8"/>
      <c r="G33" s="8"/>
      <c r="H33" s="8"/>
      <c r="I33" s="8"/>
      <c r="J33" s="8"/>
      <c r="K33" s="8"/>
      <c r="L33" s="195"/>
      <c r="M33" s="158"/>
      <c r="N33" s="225"/>
    </row>
    <row r="34" spans="1:14" s="15" customFormat="1" ht="12.9" customHeight="1" thickBot="1">
      <c r="A34" s="192"/>
      <c r="B34" s="228"/>
      <c r="C34" s="228"/>
      <c r="D34" s="228"/>
      <c r="E34" s="228"/>
      <c r="F34" s="228"/>
      <c r="G34" s="228"/>
      <c r="H34" s="228"/>
      <c r="I34" s="228"/>
      <c r="J34" s="228"/>
      <c r="K34" s="228"/>
      <c r="L34" s="228"/>
      <c r="M34" s="229"/>
      <c r="N34" s="225"/>
    </row>
    <row r="35" spans="1:14" s="15" customFormat="1" ht="12.9" customHeight="1" thickTop="1" thickBot="1">
      <c r="A35" s="193" t="s">
        <v>210</v>
      </c>
      <c r="B35" s="194">
        <f>SUM(B10:B26)</f>
        <v>0</v>
      </c>
      <c r="C35" s="194">
        <f t="shared" ref="C35:L35" si="0">SUM(C10:C26)</f>
        <v>0</v>
      </c>
      <c r="D35" s="194">
        <f t="shared" si="0"/>
        <v>0</v>
      </c>
      <c r="E35" s="194">
        <f t="shared" si="0"/>
        <v>0</v>
      </c>
      <c r="F35" s="194">
        <f t="shared" si="0"/>
        <v>0</v>
      </c>
      <c r="G35" s="194">
        <f t="shared" si="0"/>
        <v>0</v>
      </c>
      <c r="H35" s="194">
        <f t="shared" si="0"/>
        <v>0</v>
      </c>
      <c r="I35" s="194">
        <f t="shared" si="0"/>
        <v>0</v>
      </c>
      <c r="J35" s="194">
        <f t="shared" si="0"/>
        <v>0</v>
      </c>
      <c r="K35" s="194">
        <f t="shared" si="0"/>
        <v>0</v>
      </c>
      <c r="L35" s="194">
        <f t="shared" si="0"/>
        <v>0</v>
      </c>
      <c r="M35" s="523">
        <f>C35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15"/>
      <c r="B38" s="147"/>
      <c r="C38" s="147"/>
      <c r="D38" s="147"/>
      <c r="E38" s="147"/>
      <c r="F38" s="147"/>
      <c r="G38" s="147"/>
      <c r="H38" s="147"/>
      <c r="I38" s="147"/>
      <c r="J38" s="147"/>
      <c r="K38" s="147"/>
      <c r="L38" s="147"/>
      <c r="M38" s="62"/>
    </row>
    <row r="39" spans="1:14" ht="12.9" customHeight="1">
      <c r="A39" s="15"/>
      <c r="B39" s="147"/>
      <c r="C39" s="147"/>
      <c r="D39" s="147"/>
      <c r="E39" s="147"/>
      <c r="F39" s="147"/>
      <c r="G39" s="147"/>
      <c r="H39" s="147"/>
      <c r="I39" s="147"/>
      <c r="J39" s="147"/>
      <c r="K39" s="147"/>
      <c r="L39" s="147"/>
      <c r="M39" s="62"/>
    </row>
    <row r="40" spans="1:14" ht="12.9" customHeight="1">
      <c r="A40" s="15"/>
      <c r="B40" s="147"/>
      <c r="C40" s="147"/>
      <c r="D40" s="147"/>
      <c r="E40" s="147"/>
      <c r="F40" s="147"/>
      <c r="G40" s="147"/>
      <c r="H40" s="147"/>
      <c r="I40" s="147"/>
      <c r="J40" s="147"/>
      <c r="K40" s="147"/>
      <c r="L40" s="147"/>
      <c r="M40" s="62"/>
    </row>
    <row r="41" spans="1:14" ht="12.9" customHeight="1">
      <c r="A41" s="1"/>
      <c r="B41" s="15"/>
      <c r="C41" s="15"/>
      <c r="D41" s="15"/>
      <c r="E41" s="15"/>
      <c r="F41" s="15"/>
      <c r="G41" s="15"/>
      <c r="H41" s="15"/>
      <c r="I41" s="15"/>
      <c r="J41" s="15"/>
      <c r="K41" s="15"/>
      <c r="L41" s="15"/>
      <c r="M41" s="62"/>
    </row>
    <row r="42" spans="1:14" ht="12.9" customHeight="1">
      <c r="A42" s="15"/>
      <c r="B42" s="15"/>
      <c r="C42" s="15"/>
      <c r="D42" s="15"/>
      <c r="E42" s="15"/>
      <c r="F42" s="15"/>
      <c r="G42" s="15"/>
      <c r="H42" s="15"/>
      <c r="I42" s="15"/>
      <c r="J42" s="15"/>
      <c r="K42" s="15"/>
      <c r="L42" s="15"/>
      <c r="M42" s="168"/>
    </row>
    <row r="43" spans="1:14" ht="12.9" customHeight="1">
      <c r="A43" s="15" t="s">
        <v>1161</v>
      </c>
      <c r="B43" s="147" t="e">
        <f>(F6-C35)</f>
        <v>#N/A</v>
      </c>
      <c r="C43" s="610" t="e">
        <f>IF(F6-C35&lt;0,"Not Ok - You are over budget on expenditures.","")</f>
        <v>#N/A</v>
      </c>
      <c r="D43" s="611"/>
      <c r="E43" s="611"/>
      <c r="F43" s="574"/>
      <c r="G43" s="15"/>
      <c r="H43" s="15"/>
      <c r="I43" s="15"/>
      <c r="J43" s="15"/>
      <c r="K43" s="15"/>
      <c r="L43" s="15"/>
      <c r="M43" s="368" t="str">
        <f>IF(ISNUMBER(SEARCH("Not Ok",C43)), "X", "")</f>
        <v/>
      </c>
      <c r="N43" s="166"/>
    </row>
    <row r="44" spans="1:14" ht="12.9" customHeight="1">
      <c r="A44" s="15"/>
      <c r="B44" s="159"/>
      <c r="C44" s="601"/>
      <c r="D44" s="601"/>
      <c r="E44" s="601"/>
      <c r="F44" s="601"/>
      <c r="G44" s="601"/>
      <c r="H44" s="601"/>
      <c r="I44" s="601"/>
      <c r="J44" s="601"/>
      <c r="K44" s="601"/>
      <c r="L44" s="601"/>
      <c r="M44" s="368"/>
      <c r="N44" s="17"/>
    </row>
    <row r="45" spans="1:14" ht="12.9" customHeight="1">
      <c r="A45" s="15"/>
      <c r="B45" s="159"/>
      <c r="C45" s="601"/>
      <c r="D45" s="602"/>
      <c r="E45" s="602"/>
      <c r="F45" s="602"/>
      <c r="G45" s="602"/>
      <c r="H45" s="602"/>
      <c r="I45" s="602"/>
      <c r="J45" s="15"/>
      <c r="K45" s="15"/>
      <c r="L45" s="15"/>
      <c r="M45" s="368"/>
    </row>
    <row r="46" spans="1:14" ht="12.9" customHeight="1">
      <c r="A46" s="15"/>
      <c r="B46" s="159"/>
      <c r="C46" s="601"/>
      <c r="D46" s="601"/>
      <c r="E46" s="601"/>
      <c r="F46" s="601"/>
      <c r="G46" s="601"/>
      <c r="H46" s="601"/>
      <c r="I46" s="601"/>
      <c r="J46" s="601"/>
      <c r="K46" s="601"/>
      <c r="L46" s="601"/>
      <c r="M46" s="368"/>
      <c r="N46" s="17"/>
    </row>
    <row r="47" spans="1:14" ht="12.9" customHeight="1">
      <c r="A47" s="15"/>
      <c r="B47" s="147"/>
      <c r="C47" s="601"/>
      <c r="D47" s="602"/>
      <c r="E47" s="602"/>
      <c r="F47" s="602"/>
      <c r="G47" s="602"/>
      <c r="H47" s="602"/>
      <c r="I47" s="602"/>
      <c r="J47" s="15"/>
      <c r="K47" s="15"/>
      <c r="L47" s="15"/>
      <c r="M47" s="368"/>
    </row>
    <row r="48" spans="1:14" ht="12.9" customHeight="1">
      <c r="A48" s="15"/>
      <c r="B48" s="147"/>
      <c r="C48" s="15"/>
      <c r="D48" s="15"/>
      <c r="E48" s="15"/>
      <c r="F48" s="15"/>
      <c r="G48" s="15"/>
      <c r="H48" s="15"/>
      <c r="I48" s="15"/>
      <c r="J48" s="15"/>
      <c r="K48" s="15"/>
      <c r="L48" s="15"/>
      <c r="M48" s="368"/>
    </row>
    <row r="49" spans="1:18" ht="12.9" customHeight="1">
      <c r="A49" s="15"/>
      <c r="B49" s="147"/>
      <c r="C49" s="600"/>
      <c r="D49" s="600"/>
      <c r="E49" s="600"/>
      <c r="F49" s="600"/>
      <c r="G49" s="600"/>
      <c r="H49" s="600"/>
      <c r="I49" s="600"/>
      <c r="J49" s="15"/>
      <c r="K49" s="15"/>
      <c r="L49" s="15"/>
      <c r="M49" s="368" t="str">
        <f t="shared" ref="M49:M52" si="1">IF(ISNUMBER(SEARCH("Not Ok",C49)), "X", "")</f>
        <v/>
      </c>
      <c r="O49" s="397"/>
      <c r="P49" s="397"/>
      <c r="Q49" s="397"/>
      <c r="R49" s="397"/>
    </row>
    <row r="50" spans="1:18" s="15" customFormat="1" ht="12.9" customHeight="1">
      <c r="B50" s="227"/>
      <c r="C50" s="600"/>
      <c r="D50" s="574"/>
      <c r="E50" s="574"/>
      <c r="F50" s="574"/>
      <c r="G50" s="574"/>
      <c r="H50" s="574"/>
      <c r="I50" s="574"/>
      <c r="J50" s="574"/>
      <c r="K50" s="574"/>
      <c r="M50" s="368"/>
      <c r="N50" s="146"/>
      <c r="O50" s="146"/>
      <c r="P50" s="146"/>
      <c r="Q50" s="146"/>
      <c r="R50" s="146"/>
    </row>
    <row r="51" spans="1:18" s="15" customFormat="1" ht="12.9" customHeight="1">
      <c r="A51" s="15" t="e">
        <f>IF(B51="x","Non-Submission Period","")</f>
        <v>#N/A</v>
      </c>
      <c r="B51" s="227" t="e">
        <f>IF(AND(D4="Non-Submission Period",C35&gt;0),"X","")</f>
        <v>#N/A</v>
      </c>
      <c r="C51" s="600" t="e">
        <f>IF(B51="x","Not Ok - You cannot claim against this contract as this is a Non-Submission Period for the contract.","")</f>
        <v>#N/A</v>
      </c>
      <c r="D51" s="574"/>
      <c r="E51" s="574"/>
      <c r="F51" s="574"/>
      <c r="G51" s="574"/>
      <c r="H51" s="574"/>
      <c r="I51" s="574"/>
      <c r="M51" s="368" t="str">
        <f t="shared" si="1"/>
        <v/>
      </c>
    </row>
    <row r="52" spans="1:18" s="15" customFormat="1" ht="12.9" customHeight="1">
      <c r="A52" s="397"/>
      <c r="B52" s="397"/>
      <c r="C52" s="600" t="str">
        <f>IF(B52="x","Not Ok - You cannot claim more in current year program income expended than has been received.","")</f>
        <v/>
      </c>
      <c r="D52" s="574"/>
      <c r="E52" s="574"/>
      <c r="F52" s="574"/>
      <c r="G52" s="574"/>
      <c r="H52" s="574"/>
      <c r="I52" s="574"/>
      <c r="J52" s="574"/>
      <c r="K52" s="574"/>
      <c r="M52" s="368" t="str">
        <f t="shared" si="1"/>
        <v/>
      </c>
    </row>
    <row r="53" spans="1:18" ht="15" customHeight="1">
      <c r="A53" s="397"/>
      <c r="B53" s="397"/>
      <c r="C53" s="15"/>
      <c r="D53" s="15"/>
      <c r="E53" s="15"/>
      <c r="F53" s="15"/>
      <c r="G53" s="15"/>
      <c r="H53" s="15"/>
      <c r="I53" s="15"/>
      <c r="J53" s="15"/>
      <c r="K53" s="15"/>
      <c r="L53" s="15"/>
      <c r="O53" s="397"/>
      <c r="P53" s="397"/>
      <c r="Q53" s="397"/>
      <c r="R53" s="397"/>
    </row>
  </sheetData>
  <sheetProtection password="C3C4" sheet="1" objects="1" scenarios="1"/>
  <mergeCells count="18">
    <mergeCell ref="C44:L44"/>
    <mergeCell ref="D4:F4"/>
    <mergeCell ref="E5:F5"/>
    <mergeCell ref="A7:L7"/>
    <mergeCell ref="B8:J8"/>
    <mergeCell ref="C43:F43"/>
    <mergeCell ref="A1:C1"/>
    <mergeCell ref="K1:L1"/>
    <mergeCell ref="A2:B2"/>
    <mergeCell ref="K2:L2"/>
    <mergeCell ref="E3:F3"/>
    <mergeCell ref="C52:K52"/>
    <mergeCell ref="C45:I45"/>
    <mergeCell ref="C46:L46"/>
    <mergeCell ref="C47:I47"/>
    <mergeCell ref="C51:I51"/>
    <mergeCell ref="C49:I49"/>
    <mergeCell ref="C50:K50"/>
  </mergeCells>
  <conditionalFormatting sqref="B38:B39">
    <cfRule type="cellIs" dxfId="671" priority="53" stopIfTrue="1" operator="equal">
      <formula>"You cannot claim against this contract until all prior year program income has been expended."</formula>
    </cfRule>
  </conditionalFormatting>
  <conditionalFormatting sqref="N45:N47">
    <cfRule type="containsText" dxfId="670" priority="28" stopIfTrue="1" operator="containsText" text="Not Ok">
      <formula>NOT(ISERROR(SEARCH("Not Ok",N45)))</formula>
    </cfRule>
  </conditionalFormatting>
  <conditionalFormatting sqref="N43:N47">
    <cfRule type="containsText" dxfId="669" priority="27" operator="containsText" text="Not Ok">
      <formula>NOT(ISERROR(SEARCH("Not Ok",N43)))</formula>
    </cfRule>
  </conditionalFormatting>
  <conditionalFormatting sqref="N1">
    <cfRule type="containsText" dxfId="668" priority="26" operator="containsText" text="End">
      <formula>NOT(ISERROR(SEARCH("End",N1)))</formula>
    </cfRule>
  </conditionalFormatting>
  <conditionalFormatting sqref="N1">
    <cfRule type="containsText" dxfId="667" priority="25" operator="containsText" text="End">
      <formula>NOT(ISERROR(SEARCH("End",N1)))</formula>
    </cfRule>
  </conditionalFormatting>
  <conditionalFormatting sqref="N2">
    <cfRule type="containsText" dxfId="666" priority="24" operator="containsText" text="Please">
      <formula>NOT(ISERROR(SEARCH("Please",N2)))</formula>
    </cfRule>
  </conditionalFormatting>
  <conditionalFormatting sqref="A1">
    <cfRule type="containsText" dxfId="665" priority="18" operator="containsText" text="End">
      <formula>NOT(ISERROR(SEARCH("End",A1)))</formula>
    </cfRule>
  </conditionalFormatting>
  <conditionalFormatting sqref="A1">
    <cfRule type="containsText" dxfId="664" priority="17" operator="containsText" text="End">
      <formula>NOT(ISERROR(SEARCH("End",A1)))</formula>
    </cfRule>
  </conditionalFormatting>
  <conditionalFormatting sqref="A2:B2">
    <cfRule type="containsText" dxfId="663" priority="16" operator="containsText" text="Please">
      <formula>NOT(ISERROR(SEARCH("Please",A2)))</formula>
    </cfRule>
  </conditionalFormatting>
  <conditionalFormatting sqref="M14 M17">
    <cfRule type="containsText" dxfId="662" priority="14" operator="containsText" text="#">
      <formula>NOT(ISERROR(SEARCH("#",M14)))</formula>
    </cfRule>
  </conditionalFormatting>
  <conditionalFormatting sqref="B36:L36">
    <cfRule type="containsText" dxfId="661" priority="13" operator="containsText" text="Error">
      <formula>NOT(ISERROR(SEARCH("Error",B36)))</formula>
    </cfRule>
  </conditionalFormatting>
  <conditionalFormatting sqref="A36">
    <cfRule type="containsText" dxfId="660" priority="12" operator="containsText" text="Enter">
      <formula>NOT(ISERROR(SEARCH("Enter",A36)))</formula>
    </cfRule>
  </conditionalFormatting>
  <conditionalFormatting sqref="M42">
    <cfRule type="cellIs" dxfId="659" priority="6" stopIfTrue="1" operator="equal">
      <formula>"You are over budget on expenditures."</formula>
    </cfRule>
  </conditionalFormatting>
  <conditionalFormatting sqref="M42">
    <cfRule type="containsText" dxfId="658" priority="5" operator="containsText" text="Not Ok">
      <formula>NOT(ISERROR(SEARCH("Not Ok",M42)))</formula>
    </cfRule>
  </conditionalFormatting>
  <conditionalFormatting sqref="B50">
    <cfRule type="cellIs" dxfId="657" priority="4" stopIfTrue="1" operator="equal">
      <formula>"You cannot claim against this contract until all prior year program income has been expended."</formula>
    </cfRule>
  </conditionalFormatting>
  <conditionalFormatting sqref="C43:L49 C51:L51 C50:I50 L50">
    <cfRule type="containsText" dxfId="656" priority="3" operator="containsText" text="Not Ok">
      <formula>NOT(ISERROR(SEARCH("Not Ok",C43)))</formula>
    </cfRule>
  </conditionalFormatting>
  <conditionalFormatting sqref="C52:I52 L52">
    <cfRule type="containsText" dxfId="655" priority="2" operator="containsText" text="Not Ok">
      <formula>NOT(ISERROR(SEARCH("Not Ok",C52)))</formula>
    </cfRule>
  </conditionalFormatting>
  <conditionalFormatting sqref="M35">
    <cfRule type="containsText" dxfId="654" priority="1" operator="containsText" text="#">
      <formula>NOT(ISERROR(SEARCH("#",M35)))</formula>
    </cfRule>
  </conditionalFormatting>
  <dataValidations count="1">
    <dataValidation type="whole" allowBlank="1" showInputMessage="1" showErrorMessage="1" errorTitle="Whole Number Validation" error="You must enter all dollars as whole numbers - no decimals (cents) or spaces." sqref="B14:E17" xr:uid="{DC87646C-1D6E-47E8-9243-66DF6B9B2333}">
      <formula1>-100000000</formula1>
      <formula2>100000000</formula2>
    </dataValidation>
  </dataValidations>
  <pageMargins left="0.25" right="0.25" top="0.25" bottom="0.25" header="0" footer="0"/>
  <pageSetup scale="7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3"/>
    <pageSetUpPr fitToPage="1"/>
  </sheetPr>
  <dimension ref="A1:V59"/>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3.2"/>
  <cols>
    <col min="1" max="1" width="31.6640625" customWidth="1"/>
    <col min="2" max="12" width="12.6640625" customWidth="1"/>
    <col min="13" max="13" width="15.6640625" style="1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1212</v>
      </c>
      <c r="L1" s="572"/>
      <c r="M1" s="15"/>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1213</v>
      </c>
      <c r="L2" s="572"/>
      <c r="M2" s="15"/>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16" t="s">
        <v>1214</v>
      </c>
      <c r="L3" s="617"/>
      <c r="M3" s="15"/>
      <c r="N3" s="62"/>
    </row>
    <row r="4" spans="1:14" s="13" customFormat="1" ht="15" customHeight="1">
      <c r="A4" s="17" t="s">
        <v>1125</v>
      </c>
      <c r="B4" s="15"/>
      <c r="C4" s="15"/>
      <c r="D4" s="608" t="e">
        <f>LOOKUP(E5,Date,'Addl Info'!B21:B33)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IF(OR(E5="October 2019",E5="November 2019",E5="December 2019",E5="Final Submission 2019"),"x","")</f>
        <v/>
      </c>
      <c r="H5" s="15"/>
      <c r="I5" s="15"/>
      <c r="J5" s="15"/>
      <c r="K5" s="15"/>
      <c r="L5" s="15"/>
      <c r="M5" s="15"/>
      <c r="N5" s="15"/>
    </row>
    <row r="6" spans="1:14" s="13" customFormat="1" ht="15" customHeight="1">
      <c r="A6" s="17" t="s">
        <v>1127</v>
      </c>
      <c r="B6" s="15"/>
      <c r="C6" s="15"/>
      <c r="D6" s="15"/>
      <c r="E6" s="15"/>
      <c r="F6" s="152" t="e">
        <f>IF(D4="Non-Submission Period",0,LOOKUP(E3,CAUTAU,Allocations!G4:G92))</f>
        <v>#N/A</v>
      </c>
      <c r="G6" s="15"/>
      <c r="H6" s="15"/>
      <c r="I6" s="15"/>
      <c r="J6" s="15"/>
      <c r="K6" s="15"/>
      <c r="L6" s="15"/>
      <c r="M6" s="15"/>
      <c r="N6" s="15"/>
    </row>
    <row r="7" spans="1:14" ht="15" customHeight="1">
      <c r="A7" s="606"/>
      <c r="B7" s="607"/>
      <c r="C7" s="607"/>
      <c r="D7" s="607"/>
      <c r="E7" s="607"/>
      <c r="F7" s="607"/>
      <c r="G7" s="607"/>
      <c r="H7" s="607"/>
      <c r="I7" s="607"/>
      <c r="J7" s="607"/>
      <c r="K7" s="607"/>
      <c r="L7" s="607"/>
    </row>
    <row r="8" spans="1:14" s="2" customFormat="1" ht="15" customHeight="1" thickBot="1">
      <c r="A8" s="1"/>
      <c r="B8" s="605" t="s">
        <v>1512</v>
      </c>
      <c r="C8" s="605"/>
      <c r="D8" s="605"/>
      <c r="E8" s="605"/>
      <c r="F8" s="605"/>
      <c r="G8" s="605"/>
      <c r="H8" s="605"/>
      <c r="I8" s="605"/>
      <c r="J8" s="605"/>
    </row>
    <row r="9" spans="1:14" ht="77.099999999999994" customHeight="1">
      <c r="A9" s="187" t="s">
        <v>1128</v>
      </c>
      <c r="B9" s="179" t="s">
        <v>1215</v>
      </c>
      <c r="C9" s="180" t="s">
        <v>1216</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11"/>
      <c r="N10" s="225"/>
    </row>
    <row r="11" spans="1:14" ht="12.9" customHeight="1">
      <c r="A11" s="181" t="s">
        <v>1139</v>
      </c>
      <c r="B11" s="323"/>
      <c r="C11" s="323"/>
      <c r="D11" s="323"/>
      <c r="E11" s="323"/>
      <c r="F11" s="323"/>
      <c r="G11" s="323"/>
      <c r="H11" s="323"/>
      <c r="I11" s="323"/>
      <c r="J11" s="323"/>
      <c r="K11" s="323"/>
      <c r="L11" s="324"/>
      <c r="M11" s="311"/>
      <c r="N11" s="225"/>
    </row>
    <row r="12" spans="1:14" ht="12.9" customHeight="1">
      <c r="A12" s="181" t="s">
        <v>1140</v>
      </c>
      <c r="B12" s="323"/>
      <c r="C12" s="323"/>
      <c r="D12" s="323"/>
      <c r="E12" s="323"/>
      <c r="F12" s="323"/>
      <c r="G12" s="323"/>
      <c r="H12" s="323"/>
      <c r="I12" s="323"/>
      <c r="J12" s="323"/>
      <c r="K12" s="323"/>
      <c r="L12" s="324"/>
      <c r="M12" s="311"/>
      <c r="N12" s="225"/>
    </row>
    <row r="13" spans="1:14" ht="12.9" customHeight="1">
      <c r="A13" s="181" t="s">
        <v>1141</v>
      </c>
      <c r="B13" s="323"/>
      <c r="C13" s="323"/>
      <c r="D13" s="323"/>
      <c r="E13" s="323"/>
      <c r="F13" s="323"/>
      <c r="G13" s="323"/>
      <c r="H13" s="323"/>
      <c r="I13" s="323"/>
      <c r="J13" s="323"/>
      <c r="K13" s="323"/>
      <c r="L13" s="324"/>
      <c r="M13" s="311"/>
      <c r="N13" s="225"/>
    </row>
    <row r="14" spans="1:14" ht="12.9" customHeight="1">
      <c r="A14" s="181" t="s">
        <v>1142</v>
      </c>
      <c r="B14" s="323"/>
      <c r="C14" s="323"/>
      <c r="D14" s="323"/>
      <c r="E14" s="323"/>
      <c r="F14" s="323"/>
      <c r="G14" s="323"/>
      <c r="H14" s="323"/>
      <c r="I14" s="323"/>
      <c r="J14" s="323"/>
      <c r="K14" s="323"/>
      <c r="L14" s="324"/>
      <c r="M14" s="311"/>
      <c r="N14" s="225"/>
    </row>
    <row r="15" spans="1:14" ht="12.9" customHeight="1">
      <c r="A15" s="181" t="s">
        <v>1143</v>
      </c>
      <c r="B15" s="323"/>
      <c r="C15" s="323"/>
      <c r="D15" s="323"/>
      <c r="E15" s="323"/>
      <c r="F15" s="323"/>
      <c r="G15" s="323"/>
      <c r="H15" s="323"/>
      <c r="I15" s="323"/>
      <c r="J15" s="323"/>
      <c r="K15" s="323"/>
      <c r="L15" s="324"/>
      <c r="M15" s="311"/>
      <c r="N15" s="225"/>
    </row>
    <row r="16" spans="1:14" ht="12.9" customHeight="1">
      <c r="A16" s="181" t="s">
        <v>1144</v>
      </c>
      <c r="B16" s="323"/>
      <c r="C16" s="323"/>
      <c r="D16" s="323"/>
      <c r="E16" s="323"/>
      <c r="F16" s="323"/>
      <c r="G16" s="323"/>
      <c r="H16" s="323"/>
      <c r="I16" s="323"/>
      <c r="J16" s="323"/>
      <c r="K16" s="323"/>
      <c r="L16" s="324"/>
      <c r="M16" s="311"/>
      <c r="N16" s="225"/>
    </row>
    <row r="17" spans="1:14" ht="12.9" customHeight="1">
      <c r="A17" s="181" t="s">
        <v>1145</v>
      </c>
      <c r="B17" s="323"/>
      <c r="C17" s="323"/>
      <c r="D17" s="323"/>
      <c r="E17" s="323"/>
      <c r="F17" s="323"/>
      <c r="G17" s="323"/>
      <c r="H17" s="323"/>
      <c r="I17" s="323"/>
      <c r="J17" s="323"/>
      <c r="K17" s="323"/>
      <c r="L17" s="324"/>
      <c r="M17" s="311"/>
      <c r="N17" s="225"/>
    </row>
    <row r="18" spans="1:14" ht="12.9" customHeight="1">
      <c r="A18" s="181" t="s">
        <v>1146</v>
      </c>
      <c r="B18" s="323"/>
      <c r="C18" s="323"/>
      <c r="D18" s="323"/>
      <c r="E18" s="323"/>
      <c r="F18" s="323"/>
      <c r="G18" s="323"/>
      <c r="H18" s="323"/>
      <c r="I18" s="323"/>
      <c r="J18" s="323"/>
      <c r="K18" s="323"/>
      <c r="L18" s="324"/>
      <c r="M18" s="311"/>
      <c r="N18" s="225"/>
    </row>
    <row r="19" spans="1:14" ht="12.9" customHeight="1">
      <c r="A19" s="181" t="s">
        <v>1194</v>
      </c>
      <c r="B19" s="323"/>
      <c r="C19" s="323"/>
      <c r="D19" s="323"/>
      <c r="E19" s="323"/>
      <c r="F19" s="323"/>
      <c r="G19" s="323"/>
      <c r="H19" s="323"/>
      <c r="I19" s="323"/>
      <c r="J19" s="323"/>
      <c r="K19" s="323"/>
      <c r="L19" s="324"/>
      <c r="M19" s="311"/>
      <c r="N19" s="225"/>
    </row>
    <row r="20" spans="1:14" ht="12.9" customHeight="1">
      <c r="A20" s="181" t="s">
        <v>1195</v>
      </c>
      <c r="B20" s="323"/>
      <c r="C20" s="323"/>
      <c r="D20" s="323"/>
      <c r="E20" s="323"/>
      <c r="F20" s="323"/>
      <c r="G20" s="323"/>
      <c r="H20" s="323"/>
      <c r="I20" s="323"/>
      <c r="J20" s="323"/>
      <c r="K20" s="323"/>
      <c r="L20" s="324"/>
      <c r="M20" s="311"/>
      <c r="N20" s="225"/>
    </row>
    <row r="21" spans="1:14" ht="12.9" customHeight="1">
      <c r="A21" s="181" t="s">
        <v>1149</v>
      </c>
      <c r="B21" s="323"/>
      <c r="C21" s="323"/>
      <c r="D21" s="323"/>
      <c r="E21" s="323"/>
      <c r="F21" s="323"/>
      <c r="G21" s="323"/>
      <c r="H21" s="323"/>
      <c r="I21" s="323"/>
      <c r="J21" s="323"/>
      <c r="K21" s="323"/>
      <c r="L21" s="324"/>
      <c r="M21" s="311"/>
      <c r="N21" s="225"/>
    </row>
    <row r="22" spans="1:14" ht="12.9" customHeight="1">
      <c r="A22" s="181" t="s">
        <v>1150</v>
      </c>
      <c r="B22" s="323"/>
      <c r="C22" s="323"/>
      <c r="D22" s="323"/>
      <c r="E22" s="323"/>
      <c r="F22" s="323"/>
      <c r="G22" s="323"/>
      <c r="H22" s="323"/>
      <c r="I22" s="323"/>
      <c r="J22" s="323"/>
      <c r="K22" s="323"/>
      <c r="L22" s="324"/>
      <c r="M22" s="311"/>
      <c r="N22" s="225"/>
    </row>
    <row r="23" spans="1:14" ht="12.9" customHeight="1">
      <c r="A23" s="181" t="s">
        <v>1151</v>
      </c>
      <c r="B23" s="323"/>
      <c r="C23" s="323"/>
      <c r="D23" s="323"/>
      <c r="E23" s="323"/>
      <c r="F23" s="323"/>
      <c r="G23" s="323"/>
      <c r="H23" s="323"/>
      <c r="I23" s="323"/>
      <c r="J23" s="323"/>
      <c r="K23" s="323"/>
      <c r="L23" s="324"/>
      <c r="M23" s="311"/>
      <c r="N23" s="225"/>
    </row>
    <row r="24" spans="1:14" ht="12.9" customHeight="1">
      <c r="A24" s="181" t="s">
        <v>1152</v>
      </c>
      <c r="B24" s="323"/>
      <c r="C24" s="323"/>
      <c r="D24" s="323"/>
      <c r="E24" s="323"/>
      <c r="F24" s="323"/>
      <c r="G24" s="323"/>
      <c r="H24" s="323"/>
      <c r="I24" s="323"/>
      <c r="J24" s="323"/>
      <c r="K24" s="323"/>
      <c r="L24" s="324"/>
      <c r="M24" s="311"/>
      <c r="N24" s="225"/>
    </row>
    <row r="25" spans="1:14" ht="12.9" customHeight="1">
      <c r="A25" s="191" t="s">
        <v>1196</v>
      </c>
      <c r="B25" s="323"/>
      <c r="C25" s="323"/>
      <c r="D25" s="323"/>
      <c r="E25" s="323"/>
      <c r="F25" s="323"/>
      <c r="G25" s="323"/>
      <c r="H25" s="323"/>
      <c r="I25" s="323"/>
      <c r="J25" s="323"/>
      <c r="K25" s="323"/>
      <c r="L25" s="324"/>
      <c r="M25" s="311"/>
      <c r="N25" s="225"/>
    </row>
    <row r="26" spans="1:14" ht="12.9" customHeight="1">
      <c r="A26" s="181" t="s">
        <v>1197</v>
      </c>
      <c r="B26" s="318"/>
      <c r="C26" s="318"/>
      <c r="D26" s="318"/>
      <c r="E26" s="318"/>
      <c r="F26" s="318"/>
      <c r="G26" s="318"/>
      <c r="H26" s="306"/>
      <c r="I26" s="318"/>
      <c r="J26" s="306"/>
      <c r="K26" s="306"/>
      <c r="L26" s="319"/>
      <c r="M26" s="308">
        <f>C26+D26+E26+F26+G26+H26+J26+L26</f>
        <v>0</v>
      </c>
      <c r="N26" s="225"/>
    </row>
    <row r="27" spans="1:14" ht="12.9" customHeight="1">
      <c r="A27" s="181"/>
      <c r="B27" s="323"/>
      <c r="C27" s="323"/>
      <c r="D27" s="323"/>
      <c r="E27" s="323"/>
      <c r="F27" s="323"/>
      <c r="G27" s="323"/>
      <c r="H27" s="323"/>
      <c r="I27" s="323"/>
      <c r="J27" s="323"/>
      <c r="K27" s="323"/>
      <c r="L27" s="324"/>
      <c r="M27" s="311"/>
      <c r="N27" s="225"/>
    </row>
    <row r="28" spans="1:14" ht="12.9" customHeight="1">
      <c r="A28" s="181"/>
      <c r="B28" s="323"/>
      <c r="C28" s="323"/>
      <c r="D28" s="323"/>
      <c r="E28" s="323"/>
      <c r="F28" s="323"/>
      <c r="G28" s="323"/>
      <c r="H28" s="323"/>
      <c r="I28" s="323"/>
      <c r="J28" s="323"/>
      <c r="K28" s="323"/>
      <c r="L28" s="324"/>
      <c r="M28" s="311"/>
      <c r="N28" s="225"/>
    </row>
    <row r="29" spans="1:14" ht="12.9" customHeight="1">
      <c r="A29" s="181"/>
      <c r="B29" s="323"/>
      <c r="C29" s="323"/>
      <c r="D29" s="323"/>
      <c r="E29" s="323"/>
      <c r="F29" s="323"/>
      <c r="G29" s="323"/>
      <c r="H29" s="323"/>
      <c r="I29" s="323"/>
      <c r="J29" s="323"/>
      <c r="K29" s="323"/>
      <c r="L29" s="324"/>
      <c r="M29" s="311"/>
      <c r="N29" s="225"/>
    </row>
    <row r="30" spans="1:14" ht="12.9" customHeight="1">
      <c r="A30" s="181"/>
      <c r="B30" s="323"/>
      <c r="C30" s="323"/>
      <c r="D30" s="323"/>
      <c r="E30" s="323"/>
      <c r="F30" s="323"/>
      <c r="G30" s="323"/>
      <c r="H30" s="323"/>
      <c r="I30" s="323"/>
      <c r="J30" s="323"/>
      <c r="K30" s="323"/>
      <c r="L30" s="324"/>
      <c r="M30" s="311"/>
      <c r="N30" s="225"/>
    </row>
    <row r="31" spans="1:14" ht="12.9" customHeight="1">
      <c r="A31" s="181"/>
      <c r="B31" s="323"/>
      <c r="C31" s="323"/>
      <c r="D31" s="323"/>
      <c r="E31" s="323"/>
      <c r="F31" s="323"/>
      <c r="G31" s="323"/>
      <c r="H31" s="323"/>
      <c r="I31" s="323"/>
      <c r="J31" s="323"/>
      <c r="K31" s="323"/>
      <c r="L31" s="324"/>
      <c r="M31" s="311"/>
      <c r="N31" s="225"/>
    </row>
    <row r="32" spans="1:14" ht="12.9" customHeight="1">
      <c r="A32" s="181"/>
      <c r="B32" s="323"/>
      <c r="C32" s="323"/>
      <c r="D32" s="323"/>
      <c r="E32" s="323"/>
      <c r="F32" s="323"/>
      <c r="G32" s="323"/>
      <c r="H32" s="323"/>
      <c r="I32" s="323"/>
      <c r="J32" s="323"/>
      <c r="K32" s="323"/>
      <c r="L32" s="324"/>
      <c r="M32" s="311"/>
      <c r="N32" s="225"/>
    </row>
    <row r="33" spans="1:22" ht="12.9" customHeight="1">
      <c r="A33" s="181"/>
      <c r="B33" s="323"/>
      <c r="C33" s="323"/>
      <c r="D33" s="323"/>
      <c r="E33" s="323"/>
      <c r="F33" s="323"/>
      <c r="G33" s="323"/>
      <c r="H33" s="323"/>
      <c r="I33" s="323"/>
      <c r="J33" s="323"/>
      <c r="K33" s="323"/>
      <c r="L33" s="324"/>
      <c r="M33" s="311"/>
      <c r="N33" s="225"/>
      <c r="O33" s="397"/>
      <c r="P33" s="397"/>
      <c r="Q33" s="397"/>
      <c r="R33" s="397"/>
      <c r="S33" s="397"/>
      <c r="T33" s="397"/>
      <c r="U33" s="397"/>
      <c r="V33" s="397"/>
    </row>
    <row r="34" spans="1:22" s="15" customFormat="1" ht="12.9" customHeight="1" thickBot="1">
      <c r="A34" s="192"/>
      <c r="B34" s="314"/>
      <c r="C34" s="314"/>
      <c r="D34" s="314"/>
      <c r="E34" s="314"/>
      <c r="F34" s="314"/>
      <c r="G34" s="314"/>
      <c r="H34" s="314"/>
      <c r="I34" s="314"/>
      <c r="J34" s="314"/>
      <c r="K34" s="314"/>
      <c r="L34" s="314"/>
      <c r="M34" s="315"/>
      <c r="N34" s="225"/>
    </row>
    <row r="35" spans="1:22" s="15" customFormat="1" ht="12.9" customHeight="1" thickTop="1" thickBot="1">
      <c r="A35" s="193" t="s">
        <v>210</v>
      </c>
      <c r="B35" s="316">
        <f>SUM(B10:B26)</f>
        <v>0</v>
      </c>
      <c r="C35" s="316">
        <f>SUM(C10:C26)</f>
        <v>0</v>
      </c>
      <c r="D35" s="316">
        <f>SUM(D10:D26)</f>
        <v>0</v>
      </c>
      <c r="E35" s="316">
        <f t="shared" ref="E35:L35" si="0">SUM(E10:E26)</f>
        <v>0</v>
      </c>
      <c r="F35" s="316">
        <f t="shared" si="0"/>
        <v>0</v>
      </c>
      <c r="G35" s="316">
        <f t="shared" si="0"/>
        <v>0</v>
      </c>
      <c r="H35" s="316">
        <f t="shared" si="0"/>
        <v>0</v>
      </c>
      <c r="I35" s="316">
        <f t="shared" si="0"/>
        <v>0</v>
      </c>
      <c r="J35" s="316">
        <f t="shared" si="0"/>
        <v>0</v>
      </c>
      <c r="K35" s="316">
        <f t="shared" si="0"/>
        <v>0</v>
      </c>
      <c r="L35" s="316">
        <f t="shared" si="0"/>
        <v>0</v>
      </c>
      <c r="M35" s="522">
        <f>C35+D35+E35+F35+G35+H35+J35+L35</f>
        <v>0</v>
      </c>
      <c r="N35" s="225"/>
    </row>
    <row r="36" spans="1:22" s="15" customFormat="1" ht="12.9" customHeight="1">
      <c r="A36" s="17"/>
      <c r="B36" s="171"/>
      <c r="C36" s="171"/>
      <c r="D36" s="171"/>
      <c r="E36" s="171"/>
      <c r="F36" s="171"/>
      <c r="G36" s="171"/>
      <c r="H36" s="171"/>
      <c r="I36" s="171"/>
      <c r="J36" s="171"/>
      <c r="K36" s="171"/>
      <c r="L36" s="171"/>
      <c r="M36" s="226"/>
      <c r="N36" s="226"/>
    </row>
    <row r="37" spans="1:22" s="15" customFormat="1" ht="12.9" customHeight="1">
      <c r="B37" s="225"/>
      <c r="C37" s="225"/>
      <c r="D37" s="225"/>
      <c r="E37" s="225"/>
      <c r="F37" s="225"/>
      <c r="G37" s="225"/>
      <c r="H37" s="225"/>
      <c r="I37" s="225"/>
      <c r="J37" s="225"/>
      <c r="K37" s="225"/>
      <c r="L37" s="225"/>
      <c r="N37" s="226"/>
    </row>
    <row r="38" spans="1:22" ht="12.9" customHeight="1">
      <c r="A38" s="397"/>
      <c r="B38" s="12"/>
      <c r="C38" s="12"/>
      <c r="D38" s="12"/>
      <c r="E38" s="12"/>
      <c r="F38" s="12"/>
      <c r="G38" s="12"/>
      <c r="H38" s="12"/>
      <c r="I38" s="12"/>
      <c r="J38" s="12"/>
      <c r="K38" s="12"/>
      <c r="L38" s="12"/>
      <c r="M38" s="62"/>
      <c r="O38" s="397"/>
      <c r="P38" s="397"/>
      <c r="Q38" s="397"/>
      <c r="R38" s="397"/>
      <c r="S38" s="397"/>
      <c r="T38" s="397"/>
      <c r="U38" s="397"/>
      <c r="V38" s="397"/>
    </row>
    <row r="39" spans="1:22" ht="12.9" customHeight="1">
      <c r="A39" s="397"/>
      <c r="B39" s="12"/>
      <c r="C39" s="12"/>
      <c r="D39" s="12"/>
      <c r="E39" s="12"/>
      <c r="F39" s="12"/>
      <c r="G39" s="12"/>
      <c r="H39" s="12"/>
      <c r="I39" s="12"/>
      <c r="J39" s="12"/>
      <c r="K39" s="12"/>
      <c r="L39" s="12"/>
      <c r="M39" s="62"/>
      <c r="O39" s="397"/>
      <c r="P39" s="397"/>
      <c r="Q39" s="397"/>
      <c r="R39" s="397"/>
      <c r="S39" s="397"/>
      <c r="T39" s="397"/>
      <c r="U39" s="397"/>
      <c r="V39" s="397"/>
    </row>
    <row r="40" spans="1:22" ht="12.9" customHeight="1">
      <c r="A40" s="397"/>
      <c r="B40" s="12"/>
      <c r="C40" s="12"/>
      <c r="D40" s="12"/>
      <c r="E40" s="12"/>
      <c r="F40" s="12"/>
      <c r="G40" s="12"/>
      <c r="H40" s="12"/>
      <c r="I40" s="12"/>
      <c r="J40" s="12"/>
      <c r="K40" s="12"/>
      <c r="L40" s="12"/>
      <c r="M40" s="62"/>
      <c r="O40" s="397"/>
      <c r="P40" s="397"/>
      <c r="Q40" s="397"/>
      <c r="R40" s="397"/>
      <c r="S40" s="397"/>
      <c r="T40" s="397"/>
      <c r="U40" s="397"/>
      <c r="V40" s="397"/>
    </row>
    <row r="41" spans="1:22" ht="12.9" customHeight="1">
      <c r="A41" s="397"/>
      <c r="B41" s="12"/>
      <c r="C41" s="12"/>
      <c r="D41" s="12"/>
      <c r="E41" s="12"/>
      <c r="F41" s="12"/>
      <c r="G41" s="12"/>
      <c r="H41" s="12"/>
      <c r="I41" s="12"/>
      <c r="J41" s="12"/>
      <c r="K41" s="12"/>
      <c r="L41" s="12"/>
      <c r="M41" s="62"/>
      <c r="O41" s="397"/>
      <c r="P41" s="397"/>
      <c r="Q41" s="397"/>
      <c r="R41" s="397"/>
      <c r="S41" s="397"/>
      <c r="T41" s="397"/>
      <c r="U41" s="397"/>
      <c r="V41" s="397"/>
    </row>
    <row r="42" spans="1:22" ht="12.9" customHeight="1">
      <c r="A42" s="397"/>
      <c r="B42" s="12"/>
      <c r="C42" s="12"/>
      <c r="D42" s="12"/>
      <c r="E42" s="12"/>
      <c r="F42" s="12"/>
      <c r="G42" s="12"/>
      <c r="H42" s="12"/>
      <c r="I42" s="12"/>
      <c r="J42" s="12"/>
      <c r="K42" s="12"/>
      <c r="L42" s="12"/>
      <c r="M42" s="168"/>
      <c r="O42" s="397"/>
      <c r="P42" s="397"/>
      <c r="Q42" s="397"/>
      <c r="R42" s="397"/>
      <c r="S42" s="397"/>
      <c r="T42" s="397"/>
      <c r="U42" s="397"/>
      <c r="V42" s="397"/>
    </row>
    <row r="43" spans="1:22" s="15" customFormat="1" ht="12.9" customHeight="1">
      <c r="A43" s="15" t="s">
        <v>1161</v>
      </c>
      <c r="B43" s="147" t="e">
        <f>(F6-C35)</f>
        <v>#N/A</v>
      </c>
      <c r="C43" s="610" t="e">
        <f>IF(F6-C35&lt;0,"Not Ok - You are over budget on expenditures.","")</f>
        <v>#N/A</v>
      </c>
      <c r="D43" s="611"/>
      <c r="E43" s="611"/>
      <c r="F43" s="574"/>
      <c r="M43" s="368" t="str">
        <f>IF(ISNUMBER(SEARCH("Not Ok",C43)), "X", "")</f>
        <v/>
      </c>
      <c r="N43" s="166"/>
      <c r="O43" s="166"/>
    </row>
    <row r="44" spans="1:22" s="15" customFormat="1" ht="12.9" customHeight="1">
      <c r="B44" s="159"/>
      <c r="C44" s="601"/>
      <c r="D44" s="601"/>
      <c r="E44" s="601"/>
      <c r="F44" s="601"/>
      <c r="G44" s="601"/>
      <c r="H44" s="601"/>
      <c r="I44" s="601"/>
      <c r="J44" s="601"/>
      <c r="K44" s="601"/>
      <c r="L44" s="601"/>
      <c r="M44" s="368"/>
      <c r="N44" s="17"/>
      <c r="O44" s="17"/>
      <c r="P44" s="17"/>
      <c r="Q44" s="17"/>
      <c r="R44" s="17"/>
      <c r="S44" s="17"/>
      <c r="T44" s="17"/>
      <c r="U44" s="17"/>
      <c r="V44" s="17"/>
    </row>
    <row r="45" spans="1:22" s="15" customFormat="1" ht="12.9" customHeight="1">
      <c r="B45" s="159"/>
      <c r="C45" s="601"/>
      <c r="D45" s="602"/>
      <c r="E45" s="602"/>
      <c r="F45" s="602"/>
      <c r="G45" s="602"/>
      <c r="H45" s="602"/>
      <c r="I45" s="602"/>
      <c r="M45" s="368"/>
    </row>
    <row r="46" spans="1:22" s="15" customFormat="1" ht="12.9" customHeight="1">
      <c r="B46" s="159"/>
      <c r="C46" s="601"/>
      <c r="D46" s="601"/>
      <c r="E46" s="601"/>
      <c r="F46" s="601"/>
      <c r="G46" s="601"/>
      <c r="H46" s="601"/>
      <c r="I46" s="601"/>
      <c r="J46" s="601"/>
      <c r="K46" s="601"/>
      <c r="L46" s="601"/>
      <c r="M46" s="368"/>
      <c r="N46" s="17"/>
      <c r="O46" s="17"/>
      <c r="P46" s="17"/>
      <c r="Q46" s="17"/>
      <c r="R46" s="17"/>
      <c r="S46" s="17"/>
      <c r="T46" s="17"/>
      <c r="U46" s="17"/>
      <c r="V46" s="17"/>
    </row>
    <row r="47" spans="1:22" s="15" customFormat="1" ht="12.9" customHeight="1">
      <c r="A47" s="15" t="s">
        <v>1165</v>
      </c>
      <c r="B47" s="147">
        <f>SUM(D35:E35)</f>
        <v>0</v>
      </c>
      <c r="C47" s="601" t="str">
        <f>IF(G5&lt;&gt;"x","",IF(B47&gt;=SUM(C35/9),"Ok - Minimum Match Met","Not Ok - Your Cash Match and/or In-Kind Match does not meet the Mimimum Match requirement."))</f>
        <v/>
      </c>
      <c r="D47" s="602"/>
      <c r="E47" s="602"/>
      <c r="F47" s="602"/>
      <c r="G47" s="602"/>
      <c r="H47" s="602"/>
      <c r="I47" s="602"/>
      <c r="M47" s="368" t="str">
        <f t="shared" ref="M47:M52" si="1">IF(ISNUMBER(SEARCH("Not Ok",C47)), "X", "")</f>
        <v/>
      </c>
    </row>
    <row r="48" spans="1:22" s="15" customFormat="1" ht="12.9" customHeight="1">
      <c r="A48" s="15" t="s">
        <v>1166</v>
      </c>
      <c r="B48" s="147">
        <f>ROUNDUP((C35/9),0)</f>
        <v>0</v>
      </c>
      <c r="C48" s="15" t="s">
        <v>1167</v>
      </c>
      <c r="M48" s="368" t="str">
        <f t="shared" si="1"/>
        <v/>
      </c>
    </row>
    <row r="49" spans="1:18" s="15" customFormat="1" ht="12.9" customHeight="1">
      <c r="B49" s="147"/>
      <c r="C49" s="600"/>
      <c r="D49" s="600"/>
      <c r="E49" s="600"/>
      <c r="F49" s="600"/>
      <c r="G49" s="600"/>
      <c r="H49" s="600"/>
      <c r="I49" s="600"/>
      <c r="M49" s="368" t="str">
        <f t="shared" si="1"/>
        <v/>
      </c>
    </row>
    <row r="50" spans="1:18" s="15" customFormat="1" ht="12.9" customHeight="1">
      <c r="A50" s="15" t="str">
        <f>IF(B50="X","Program Income Carryover","")</f>
        <v/>
      </c>
      <c r="B50" s="227" t="str">
        <f>IF(AND(C35&gt;0,K35&gt;L35),"X","")</f>
        <v/>
      </c>
      <c r="C50" s="600" t="str">
        <f>IF(B50="x","Not Ok - You cannot claim against this contract until all prior year program income has been expended.","")</f>
        <v/>
      </c>
      <c r="D50" s="574"/>
      <c r="E50" s="574"/>
      <c r="F50" s="574"/>
      <c r="G50" s="574"/>
      <c r="H50" s="574"/>
      <c r="I50" s="574"/>
      <c r="J50" s="574"/>
      <c r="K50" s="574"/>
      <c r="M50" s="368" t="str">
        <f t="shared" si="1"/>
        <v/>
      </c>
      <c r="N50" s="146"/>
      <c r="O50" s="146"/>
      <c r="P50" s="146"/>
      <c r="Q50" s="146"/>
      <c r="R50" s="146"/>
    </row>
    <row r="51" spans="1:18" s="15" customFormat="1" ht="12.9" customHeight="1">
      <c r="B51" s="227"/>
      <c r="C51" s="600"/>
      <c r="D51" s="574"/>
      <c r="E51" s="574"/>
      <c r="F51" s="574"/>
      <c r="G51" s="574"/>
      <c r="H51" s="574"/>
      <c r="I51" s="574"/>
      <c r="M51" s="368" t="str">
        <f t="shared" si="1"/>
        <v/>
      </c>
    </row>
    <row r="52" spans="1:18" s="15" customFormat="1" ht="18">
      <c r="A52" s="15" t="str">
        <f>IF(B52="X","Current Year Program Income","")</f>
        <v/>
      </c>
      <c r="B52" s="227" t="str">
        <f>IF(G5&lt;&gt;"x","",IF(J35&gt;I35,"X",""))</f>
        <v/>
      </c>
      <c r="C52" s="600" t="str">
        <f>IF(B52="x","Not Ok - You cannot claim more in current year program income expended than has been received.","")</f>
        <v/>
      </c>
      <c r="D52" s="574"/>
      <c r="E52" s="574"/>
      <c r="F52" s="574"/>
      <c r="G52" s="574"/>
      <c r="H52" s="574"/>
      <c r="I52" s="574"/>
      <c r="J52" s="574"/>
      <c r="M52" s="368" t="str">
        <f t="shared" si="1"/>
        <v/>
      </c>
      <c r="N52" s="146"/>
    </row>
    <row r="53" spans="1:18" s="15" customFormat="1">
      <c r="M53" s="62"/>
    </row>
    <row r="54" spans="1:18" s="15" customFormat="1">
      <c r="M54" s="62"/>
    </row>
    <row r="55" spans="1:18" s="15" customFormat="1">
      <c r="M55" s="62"/>
    </row>
    <row r="56" spans="1:18" s="15" customFormat="1"/>
    <row r="57" spans="1:18" ht="12.9" customHeight="1">
      <c r="A57" s="397"/>
      <c r="B57" s="397"/>
      <c r="C57" s="397"/>
      <c r="D57" s="397"/>
      <c r="E57" s="397"/>
      <c r="F57" s="397"/>
      <c r="G57" s="397"/>
      <c r="H57" s="397"/>
      <c r="I57" s="397"/>
      <c r="J57" s="397"/>
      <c r="K57" s="397"/>
      <c r="L57" s="397"/>
      <c r="O57" s="397"/>
      <c r="P57" s="397"/>
      <c r="Q57" s="397"/>
      <c r="R57" s="397"/>
    </row>
    <row r="58" spans="1:18" ht="12.9" customHeight="1">
      <c r="A58" s="397"/>
      <c r="B58" s="397"/>
      <c r="C58" s="397"/>
      <c r="D58" s="397"/>
      <c r="E58" s="397"/>
      <c r="F58" s="397"/>
      <c r="G58" s="397"/>
      <c r="H58" s="397"/>
      <c r="I58" s="397"/>
      <c r="J58" s="397"/>
      <c r="K58" s="397"/>
      <c r="L58" s="397"/>
      <c r="O58" s="397"/>
      <c r="P58" s="397"/>
      <c r="Q58" s="397"/>
      <c r="R58" s="397"/>
    </row>
    <row r="59" spans="1:18" ht="12.9" customHeight="1">
      <c r="A59" s="397"/>
      <c r="B59" s="397"/>
      <c r="C59" s="397"/>
      <c r="D59" s="397"/>
      <c r="E59" s="397"/>
      <c r="F59" s="397"/>
      <c r="G59" s="397"/>
      <c r="H59" s="397"/>
      <c r="I59" s="397"/>
      <c r="J59" s="397"/>
      <c r="K59" s="397"/>
      <c r="L59" s="397"/>
      <c r="O59" s="397"/>
      <c r="P59" s="397"/>
      <c r="Q59" s="397"/>
      <c r="R59" s="397"/>
    </row>
  </sheetData>
  <sheetProtection password="C3C4" sheet="1" objects="1" scenarios="1"/>
  <customSheetViews>
    <customSheetView guid="{89953FCB-456A-4C2D-8912-B30825F750D3}" showPageBreaks="1" showGridLines="0" showRowCol="0" fitToPage="1">
      <selection activeCell="B12" sqref="B12"/>
      <pageMargins left="0" right="0" top="0" bottom="0" header="0" footer="0"/>
      <printOptions horizontalCentered="1"/>
      <pageSetup scale="81" orientation="landscape" r:id="rId1"/>
      <headerFooter alignWithMargins="0">
        <oddFooter>&amp;R&amp;8&amp;Z&amp;F</oddFooter>
      </headerFooter>
    </customSheetView>
  </customSheetViews>
  <mergeCells count="19">
    <mergeCell ref="C51:I51"/>
    <mergeCell ref="C47:I47"/>
    <mergeCell ref="C46:L46"/>
    <mergeCell ref="C52:J52"/>
    <mergeCell ref="C49:I49"/>
    <mergeCell ref="C50:K50"/>
    <mergeCell ref="A1:C1"/>
    <mergeCell ref="A2:B2"/>
    <mergeCell ref="C43:F43"/>
    <mergeCell ref="C44:L44"/>
    <mergeCell ref="C45:I45"/>
    <mergeCell ref="A7:L7"/>
    <mergeCell ref="B8:J8"/>
    <mergeCell ref="K1:L1"/>
    <mergeCell ref="K2:L2"/>
    <mergeCell ref="E3:F3"/>
    <mergeCell ref="D4:F4"/>
    <mergeCell ref="E5:F5"/>
    <mergeCell ref="K3:L3"/>
  </mergeCells>
  <phoneticPr fontId="4" type="noConversion"/>
  <conditionalFormatting sqref="B38:B41">
    <cfRule type="cellIs" dxfId="653" priority="143" stopIfTrue="1" operator="equal">
      <formula>"You cannot claim against this contract until all prior year program income has been expended."</formula>
    </cfRule>
  </conditionalFormatting>
  <conditionalFormatting sqref="M42">
    <cfRule type="cellIs" dxfId="652" priority="92" stopIfTrue="1" operator="equal">
      <formula>"You are over budget on expenditures."</formula>
    </cfRule>
  </conditionalFormatting>
  <conditionalFormatting sqref="M42">
    <cfRule type="containsText" dxfId="651" priority="91" operator="containsText" text="Not Ok">
      <formula>NOT(ISERROR(SEARCH("Not Ok",M42)))</formula>
    </cfRule>
  </conditionalFormatting>
  <conditionalFormatting sqref="O47:S47 O45:R46">
    <cfRule type="containsText" dxfId="650" priority="68" stopIfTrue="1" operator="containsText" text="Not Ok">
      <formula>NOT(ISERROR(SEARCH("Not Ok",O45)))</formula>
    </cfRule>
  </conditionalFormatting>
  <conditionalFormatting sqref="O43:V47">
    <cfRule type="containsText" dxfId="649" priority="66" operator="containsText" text="Not Ok">
      <formula>NOT(ISERROR(SEARCH("Not Ok",O43)))</formula>
    </cfRule>
  </conditionalFormatting>
  <conditionalFormatting sqref="G3">
    <cfRule type="containsText" dxfId="648" priority="62" stopIfTrue="1" operator="containsText" text="Not Ok">
      <formula>NOT(ISERROR(SEARCH("Not Ok",G3)))</formula>
    </cfRule>
    <cfRule type="containsText" dxfId="647" priority="63" stopIfTrue="1" operator="containsText" text="Not Ok">
      <formula>NOT(ISERROR(SEARCH("Not Ok",G3)))</formula>
    </cfRule>
  </conditionalFormatting>
  <conditionalFormatting sqref="G3">
    <cfRule type="containsText" dxfId="646" priority="61" stopIfTrue="1" operator="containsText" text="Not Ok">
      <formula>NOT(ISERROR(SEARCH("Not Ok",G3)))</formula>
    </cfRule>
  </conditionalFormatting>
  <conditionalFormatting sqref="N45:N47">
    <cfRule type="containsText" dxfId="645" priority="38" stopIfTrue="1" operator="containsText" text="Not Ok">
      <formula>NOT(ISERROR(SEARCH("Not Ok",N45)))</formula>
    </cfRule>
  </conditionalFormatting>
  <conditionalFormatting sqref="N43:N47">
    <cfRule type="containsText" dxfId="644" priority="37" operator="containsText" text="Not Ok">
      <formula>NOT(ISERROR(SEARCH("Not Ok",N43)))</formula>
    </cfRule>
  </conditionalFormatting>
  <conditionalFormatting sqref="M26">
    <cfRule type="containsText" dxfId="643" priority="24" operator="containsText" text="#">
      <formula>NOT(ISERROR(SEARCH("#",M26)))</formula>
    </cfRule>
  </conditionalFormatting>
  <conditionalFormatting sqref="B36:L36">
    <cfRule type="containsText" dxfId="642" priority="23" operator="containsText" text="Error">
      <formula>NOT(ISERROR(SEARCH("Error",B36)))</formula>
    </cfRule>
  </conditionalFormatting>
  <conditionalFormatting sqref="A36">
    <cfRule type="containsText" dxfId="641" priority="22" operator="containsText" text="Enter">
      <formula>NOT(ISERROR(SEARCH("Enter",A36)))</formula>
    </cfRule>
  </conditionalFormatting>
  <conditionalFormatting sqref="B50">
    <cfRule type="cellIs" dxfId="640" priority="16" stopIfTrue="1" operator="equal">
      <formula>"You cannot claim against this contract until all prior year program income has been expended."</formula>
    </cfRule>
  </conditionalFormatting>
  <conditionalFormatting sqref="A1">
    <cfRule type="containsText" dxfId="639" priority="12" operator="containsText" text="End">
      <formula>NOT(ISERROR(SEARCH("End",A1)))</formula>
    </cfRule>
  </conditionalFormatting>
  <conditionalFormatting sqref="A1">
    <cfRule type="containsText" dxfId="638" priority="11" operator="containsText" text="End">
      <formula>NOT(ISERROR(SEARCH("End",A1)))</formula>
    </cfRule>
  </conditionalFormatting>
  <conditionalFormatting sqref="A2:B2">
    <cfRule type="containsText" dxfId="637" priority="10" operator="containsText" text="Please">
      <formula>NOT(ISERROR(SEARCH("Please",A2)))</formula>
    </cfRule>
  </conditionalFormatting>
  <conditionalFormatting sqref="C43:L49 C51:L51 C50:I50 L50 C52:I52 K52:L52">
    <cfRule type="containsText" dxfId="636" priority="6" operator="containsText" text="Not Ok">
      <formula>NOT(ISERROR(SEARCH("Not Ok",C43)))</formula>
    </cfRule>
  </conditionalFormatting>
  <conditionalFormatting sqref="B52">
    <cfRule type="cellIs" dxfId="635" priority="5" stopIfTrue="1" operator="equal">
      <formula>"You cannot claim against this contract until all prior year program income has been expended."</formula>
    </cfRule>
  </conditionalFormatting>
  <conditionalFormatting sqref="N1">
    <cfRule type="containsText" dxfId="634" priority="4" operator="containsText" text="End">
      <formula>NOT(ISERROR(SEARCH("End",N1)))</formula>
    </cfRule>
  </conditionalFormatting>
  <conditionalFormatting sqref="N1">
    <cfRule type="containsText" dxfId="633" priority="3" operator="containsText" text="End">
      <formula>NOT(ISERROR(SEARCH("End",N1)))</formula>
    </cfRule>
  </conditionalFormatting>
  <conditionalFormatting sqref="N2">
    <cfRule type="containsText" dxfId="632" priority="2" operator="containsText" text="Please">
      <formula>NOT(ISERROR(SEARCH("Please",N2)))</formula>
    </cfRule>
  </conditionalFormatting>
  <conditionalFormatting sqref="M35">
    <cfRule type="containsText" dxfId="631" priority="1" operator="containsText" text="#">
      <formula>NOT(ISERROR(SEARCH("#",M35)))</formula>
    </cfRule>
  </conditionalFormatting>
  <dataValidations count="1">
    <dataValidation type="whole" allowBlank="1" showInputMessage="1" showErrorMessage="1" errorTitle="Whole Number Validation" error="You must enter all dollars as whole numbers - no decimals (cents) or spaces." sqref="B26:L26" xr:uid="{25B99AAC-369F-4447-ADEC-AD36C114A43F}">
      <formula1>-100000000</formula1>
      <formula2>100000000</formula2>
    </dataValidation>
  </dataValidations>
  <printOptions horizontalCentered="1"/>
  <pageMargins left="0.25" right="0.25" top="0.25" bottom="0.5" header="0" footer="0"/>
  <pageSetup scale="73" orientation="landscape" r:id="rId2"/>
  <headerFooter alignWithMargins="0">
    <oddFooter>&amp;R&amp;8&amp;Z&amp;F</oddFooter>
  </headerFooter>
  <ignoredErrors>
    <ignoredError sqref="D35"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3"/>
    <pageSetUpPr fitToPage="1"/>
  </sheetPr>
  <dimension ref="A1:R71"/>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defaultRowHeight="15" customHeight="1"/>
  <cols>
    <col min="1" max="1" width="31.6640625" customWidth="1"/>
    <col min="2" max="12" width="12.6640625" customWidth="1"/>
    <col min="13" max="13" width="15.6640625" style="15" customWidth="1"/>
    <col min="14" max="14" width="9.109375" style="62"/>
  </cols>
  <sheetData>
    <row r="1" spans="1:16" s="13" customFormat="1" ht="15" customHeight="1">
      <c r="A1" s="601" t="str">
        <f>IF(N1="x","End of Year approaching, please address errors listed below.","")</f>
        <v/>
      </c>
      <c r="B1" s="601"/>
      <c r="C1" s="601"/>
      <c r="D1" s="15"/>
      <c r="E1" s="15"/>
      <c r="F1" s="15"/>
      <c r="G1" s="15"/>
      <c r="H1" s="15"/>
      <c r="I1" s="15"/>
      <c r="J1" s="15"/>
      <c r="K1" s="620" t="s">
        <v>1217</v>
      </c>
      <c r="L1" s="621"/>
      <c r="M1" s="15"/>
      <c r="N1" s="167" t="str">
        <f>IF(AND(G5="x",OR(M48="x",M50="x",M51="x",M54="x",M52="x",M53="x",M55="x",M56="x",M58="x",M61="x",M63="x",M65="x")),"X","")</f>
        <v/>
      </c>
      <c r="O1" s="17"/>
      <c r="P1" s="17"/>
    </row>
    <row r="2" spans="1:16" s="13" customFormat="1" ht="15" customHeight="1">
      <c r="A2" s="601" t="str">
        <f>IF(N2="x","Please address the errors listed below.","")</f>
        <v/>
      </c>
      <c r="B2" s="574"/>
      <c r="C2" s="15"/>
      <c r="D2" s="15"/>
      <c r="E2" s="15"/>
      <c r="F2" s="156" t="s">
        <v>1121</v>
      </c>
      <c r="G2" s="15"/>
      <c r="H2" s="15"/>
      <c r="I2" s="15"/>
      <c r="J2" s="15"/>
      <c r="K2" s="616" t="s">
        <v>1218</v>
      </c>
      <c r="L2" s="617"/>
      <c r="M2" s="15"/>
      <c r="N2" s="167" t="str">
        <f>IF(G5="x","",IF(OR(M48="x",M63="x"),"X",""))</f>
        <v/>
      </c>
      <c r="O2" s="397"/>
      <c r="P2" s="15"/>
    </row>
    <row r="3" spans="1:16" s="13" customFormat="1" ht="15" customHeight="1">
      <c r="A3" s="17" t="s">
        <v>1123</v>
      </c>
      <c r="B3" s="15"/>
      <c r="C3" s="15"/>
      <c r="D3" s="15"/>
      <c r="E3" s="608" t="str">
        <f>CAUTAU!A99</f>
        <v>Menominee Tribe</v>
      </c>
      <c r="F3" s="608"/>
      <c r="G3" s="167" t="str">
        <f>LOOKUP(E3,Allocations!A4:A92,Allocations!B4:B92)</f>
        <v>X</v>
      </c>
      <c r="H3" s="15"/>
      <c r="I3" s="15"/>
      <c r="J3" s="15"/>
      <c r="K3" s="616" t="s">
        <v>1219</v>
      </c>
      <c r="L3" s="617"/>
      <c r="M3" s="15"/>
      <c r="N3" s="62"/>
      <c r="O3" s="15"/>
      <c r="P3" s="15"/>
    </row>
    <row r="4" spans="1:16" s="13" customFormat="1" ht="15" customHeight="1">
      <c r="A4" s="17" t="s">
        <v>1125</v>
      </c>
      <c r="B4" s="15"/>
      <c r="C4" s="15"/>
      <c r="D4" s="608" t="e">
        <f>LOOKUP(E5,Date,'Addl Info'!B21:B33)</f>
        <v>#N/A</v>
      </c>
      <c r="E4" s="609"/>
      <c r="F4" s="609"/>
      <c r="G4" s="62"/>
      <c r="H4" s="15"/>
      <c r="I4" s="15"/>
      <c r="J4" s="15"/>
      <c r="K4" s="15"/>
      <c r="L4" s="15"/>
      <c r="M4" s="15"/>
      <c r="N4" s="62"/>
      <c r="O4" s="15"/>
      <c r="P4" s="15"/>
    </row>
    <row r="5" spans="1:16" s="13" customFormat="1" ht="15" customHeight="1">
      <c r="A5" s="17" t="s">
        <v>1126</v>
      </c>
      <c r="B5" s="15"/>
      <c r="C5" s="15"/>
      <c r="D5" s="15"/>
      <c r="E5" s="608" t="str">
        <f>CAUTAU!A100</f>
        <v/>
      </c>
      <c r="F5" s="608"/>
      <c r="G5" s="62" t="str">
        <f>IF(OR(E5="October 2019",E5="November 2019",E5="December 2019",E5="Final Submission 2019"),"x","")</f>
        <v/>
      </c>
      <c r="H5" s="15"/>
      <c r="I5" s="15"/>
      <c r="J5" s="15"/>
      <c r="K5" s="15"/>
      <c r="L5" s="15"/>
      <c r="M5" s="15"/>
      <c r="N5" s="62"/>
      <c r="O5" s="15"/>
      <c r="P5" s="15"/>
    </row>
    <row r="6" spans="1:16" s="13" customFormat="1" ht="15" customHeight="1">
      <c r="A6" s="17" t="s">
        <v>1127</v>
      </c>
      <c r="B6" s="15"/>
      <c r="C6" s="15"/>
      <c r="D6" s="15"/>
      <c r="E6" s="15"/>
      <c r="F6" s="152" t="e">
        <f>IF(D4="Non-Submission Period",0,LOOKUP(E3,CAUTAU,Allocations!H4:H92))</f>
        <v>#N/A</v>
      </c>
      <c r="G6" s="15"/>
      <c r="H6" s="15"/>
      <c r="I6" s="15"/>
      <c r="J6" s="15"/>
      <c r="K6" s="15"/>
      <c r="L6" s="15"/>
      <c r="M6" s="15"/>
      <c r="N6" s="62"/>
      <c r="O6" s="15"/>
      <c r="P6" s="15"/>
    </row>
    <row r="7" spans="1:16" ht="15" customHeight="1">
      <c r="A7" s="606"/>
      <c r="B7" s="606"/>
      <c r="C7" s="606"/>
      <c r="D7" s="606"/>
      <c r="E7" s="606"/>
      <c r="F7" s="606"/>
      <c r="G7" s="606"/>
      <c r="H7" s="606"/>
      <c r="I7" s="606"/>
      <c r="J7" s="606"/>
      <c r="K7" s="606"/>
      <c r="L7" s="606"/>
      <c r="O7" s="397"/>
      <c r="P7" s="397"/>
    </row>
    <row r="8" spans="1:16" s="2" customFormat="1" ht="15" customHeight="1" thickBot="1">
      <c r="A8" s="1"/>
      <c r="B8" s="605" t="s">
        <v>1513</v>
      </c>
      <c r="C8" s="605"/>
      <c r="D8" s="605"/>
      <c r="E8" s="605"/>
      <c r="F8" s="605"/>
      <c r="G8" s="605"/>
      <c r="H8" s="605"/>
      <c r="I8" s="605"/>
      <c r="J8" s="605"/>
      <c r="K8" s="605"/>
      <c r="L8" s="605"/>
      <c r="N8" s="238"/>
    </row>
    <row r="9" spans="1:16" ht="77.099999999999994" customHeight="1">
      <c r="A9" s="187" t="s">
        <v>1128</v>
      </c>
      <c r="B9" s="179" t="s">
        <v>1220</v>
      </c>
      <c r="C9" s="180" t="s">
        <v>1221</v>
      </c>
      <c r="D9" s="179" t="s">
        <v>1131</v>
      </c>
      <c r="E9" s="179" t="s">
        <v>1132</v>
      </c>
      <c r="F9" s="179" t="s">
        <v>1133</v>
      </c>
      <c r="G9" s="179" t="s">
        <v>1134</v>
      </c>
      <c r="H9" s="179" t="s">
        <v>1135</v>
      </c>
      <c r="I9" s="179" t="s">
        <v>321</v>
      </c>
      <c r="J9" s="179" t="s">
        <v>325</v>
      </c>
      <c r="K9" s="179" t="s">
        <v>1136</v>
      </c>
      <c r="L9" s="190" t="s">
        <v>1137</v>
      </c>
      <c r="M9" s="154" t="s">
        <v>331</v>
      </c>
      <c r="O9" s="397"/>
      <c r="P9" s="397"/>
    </row>
    <row r="10" spans="1:16" ht="12.9" customHeight="1">
      <c r="A10" s="624" t="s">
        <v>1222</v>
      </c>
      <c r="B10" s="625"/>
      <c r="C10" s="625"/>
      <c r="D10" s="625"/>
      <c r="E10" s="625"/>
      <c r="F10" s="625"/>
      <c r="G10" s="625"/>
      <c r="H10" s="625"/>
      <c r="I10" s="625"/>
      <c r="J10" s="625"/>
      <c r="K10" s="625"/>
      <c r="L10" s="625"/>
      <c r="M10" s="158"/>
      <c r="N10" s="225"/>
      <c r="O10" s="397"/>
      <c r="P10" s="397"/>
    </row>
    <row r="11" spans="1:16" ht="12.9" customHeight="1">
      <c r="A11" s="181" t="s">
        <v>1223</v>
      </c>
      <c r="B11" s="318"/>
      <c r="C11" s="318"/>
      <c r="D11" s="318"/>
      <c r="E11" s="318"/>
      <c r="F11" s="318"/>
      <c r="G11" s="318"/>
      <c r="H11" s="318"/>
      <c r="I11" s="318"/>
      <c r="J11" s="318"/>
      <c r="K11" s="318"/>
      <c r="L11" s="319"/>
      <c r="M11" s="308">
        <f>C11+D11+E11+F11+G11+H11+J11+L11</f>
        <v>0</v>
      </c>
      <c r="N11" s="225"/>
      <c r="O11" s="397"/>
      <c r="P11" s="397"/>
    </row>
    <row r="12" spans="1:16" ht="12.9" customHeight="1">
      <c r="A12" s="181" t="s">
        <v>1224</v>
      </c>
      <c r="B12" s="318"/>
      <c r="C12" s="318"/>
      <c r="D12" s="318"/>
      <c r="E12" s="318"/>
      <c r="F12" s="318"/>
      <c r="G12" s="318"/>
      <c r="H12" s="318"/>
      <c r="I12" s="318"/>
      <c r="J12" s="318"/>
      <c r="K12" s="318"/>
      <c r="L12" s="319"/>
      <c r="M12" s="308">
        <f t="shared" ref="M12:M22" si="0">C12+D12+E12+F12+G12+H12+J12+L12</f>
        <v>0</v>
      </c>
      <c r="N12" s="225"/>
      <c r="O12" s="397"/>
      <c r="P12" s="397"/>
    </row>
    <row r="13" spans="1:16" ht="12.9" customHeight="1">
      <c r="A13" s="181" t="s">
        <v>1225</v>
      </c>
      <c r="B13" s="318"/>
      <c r="C13" s="318"/>
      <c r="D13" s="318"/>
      <c r="E13" s="318"/>
      <c r="F13" s="318"/>
      <c r="G13" s="318"/>
      <c r="H13" s="318"/>
      <c r="I13" s="318"/>
      <c r="J13" s="318"/>
      <c r="K13" s="318"/>
      <c r="L13" s="319"/>
      <c r="M13" s="308">
        <f t="shared" si="0"/>
        <v>0</v>
      </c>
      <c r="N13" s="225"/>
      <c r="O13" s="397"/>
      <c r="P13" s="397"/>
    </row>
    <row r="14" spans="1:16" ht="12.9" customHeight="1">
      <c r="A14" s="181" t="s">
        <v>1226</v>
      </c>
      <c r="B14" s="318"/>
      <c r="C14" s="318"/>
      <c r="D14" s="318"/>
      <c r="E14" s="318"/>
      <c r="F14" s="318"/>
      <c r="G14" s="318"/>
      <c r="H14" s="318"/>
      <c r="I14" s="318"/>
      <c r="J14" s="318"/>
      <c r="K14" s="318"/>
      <c r="L14" s="319"/>
      <c r="M14" s="308">
        <f t="shared" si="0"/>
        <v>0</v>
      </c>
      <c r="N14" s="225"/>
      <c r="O14" s="397"/>
      <c r="P14" s="397"/>
    </row>
    <row r="15" spans="1:16" ht="12.9" customHeight="1">
      <c r="A15" s="209" t="s">
        <v>1227</v>
      </c>
      <c r="B15" s="306"/>
      <c r="C15" s="306"/>
      <c r="D15" s="306"/>
      <c r="E15" s="306"/>
      <c r="F15" s="306"/>
      <c r="G15" s="306"/>
      <c r="H15" s="306"/>
      <c r="I15" s="306"/>
      <c r="J15" s="306"/>
      <c r="K15" s="306"/>
      <c r="L15" s="307"/>
      <c r="M15" s="308">
        <f t="shared" si="0"/>
        <v>0</v>
      </c>
      <c r="N15" s="225"/>
      <c r="O15" s="397"/>
      <c r="P15" s="397"/>
    </row>
    <row r="16" spans="1:16" ht="12.9" customHeight="1">
      <c r="A16" s="181" t="s">
        <v>1228</v>
      </c>
      <c r="B16" s="306"/>
      <c r="C16" s="306"/>
      <c r="D16" s="306"/>
      <c r="E16" s="306"/>
      <c r="F16" s="306"/>
      <c r="G16" s="306"/>
      <c r="H16" s="306"/>
      <c r="I16" s="306"/>
      <c r="J16" s="306"/>
      <c r="K16" s="306"/>
      <c r="L16" s="307"/>
      <c r="M16" s="308">
        <f t="shared" si="0"/>
        <v>0</v>
      </c>
      <c r="N16" s="225"/>
      <c r="O16" s="397"/>
      <c r="P16" s="397"/>
    </row>
    <row r="17" spans="1:14" ht="12.9" customHeight="1">
      <c r="A17" s="181" t="s">
        <v>1229</v>
      </c>
      <c r="B17" s="318"/>
      <c r="C17" s="318"/>
      <c r="D17" s="318"/>
      <c r="E17" s="318"/>
      <c r="F17" s="318"/>
      <c r="G17" s="318"/>
      <c r="H17" s="318"/>
      <c r="I17" s="318"/>
      <c r="J17" s="318"/>
      <c r="K17" s="318"/>
      <c r="L17" s="319"/>
      <c r="M17" s="308">
        <f t="shared" si="0"/>
        <v>0</v>
      </c>
      <c r="N17" s="225"/>
    </row>
    <row r="18" spans="1:14" ht="12.9" customHeight="1">
      <c r="A18" s="181" t="s">
        <v>1230</v>
      </c>
      <c r="B18" s="318"/>
      <c r="C18" s="318"/>
      <c r="D18" s="318"/>
      <c r="E18" s="318"/>
      <c r="F18" s="318"/>
      <c r="G18" s="318"/>
      <c r="H18" s="318"/>
      <c r="I18" s="318"/>
      <c r="J18" s="318"/>
      <c r="K18" s="318"/>
      <c r="L18" s="319"/>
      <c r="M18" s="308">
        <f t="shared" si="0"/>
        <v>0</v>
      </c>
      <c r="N18" s="225"/>
    </row>
    <row r="19" spans="1:14" ht="12.9" customHeight="1">
      <c r="A19" s="181" t="s">
        <v>1231</v>
      </c>
      <c r="B19" s="318"/>
      <c r="C19" s="318"/>
      <c r="D19" s="318"/>
      <c r="E19" s="318"/>
      <c r="F19" s="318"/>
      <c r="G19" s="318"/>
      <c r="H19" s="318"/>
      <c r="I19" s="318"/>
      <c r="J19" s="318"/>
      <c r="K19" s="318"/>
      <c r="L19" s="319"/>
      <c r="M19" s="308">
        <f t="shared" si="0"/>
        <v>0</v>
      </c>
      <c r="N19" s="225"/>
    </row>
    <row r="20" spans="1:14" ht="12.9" customHeight="1">
      <c r="A20" s="181" t="s">
        <v>1232</v>
      </c>
      <c r="B20" s="318"/>
      <c r="C20" s="318"/>
      <c r="D20" s="318"/>
      <c r="E20" s="318"/>
      <c r="F20" s="318"/>
      <c r="G20" s="318"/>
      <c r="H20" s="318"/>
      <c r="I20" s="318"/>
      <c r="J20" s="318"/>
      <c r="K20" s="318"/>
      <c r="L20" s="319"/>
      <c r="M20" s="308">
        <f t="shared" si="0"/>
        <v>0</v>
      </c>
      <c r="N20" s="225"/>
    </row>
    <row r="21" spans="1:14" ht="12.9" customHeight="1">
      <c r="A21" s="182"/>
      <c r="B21" s="327"/>
      <c r="C21" s="327"/>
      <c r="D21" s="327"/>
      <c r="E21" s="327"/>
      <c r="F21" s="327"/>
      <c r="G21" s="327"/>
      <c r="H21" s="327"/>
      <c r="I21" s="327"/>
      <c r="J21" s="327"/>
      <c r="K21" s="327"/>
      <c r="L21" s="328"/>
      <c r="M21" s="322"/>
      <c r="N21" s="225"/>
    </row>
    <row r="22" spans="1:14" ht="12.9" customHeight="1">
      <c r="A22" s="181" t="s">
        <v>1233</v>
      </c>
      <c r="B22" s="329">
        <f>SUM(B11:B20)</f>
        <v>0</v>
      </c>
      <c r="C22" s="329">
        <f t="shared" ref="C22:L22" si="1">SUM(C11:C20)</f>
        <v>0</v>
      </c>
      <c r="D22" s="329">
        <f t="shared" si="1"/>
        <v>0</v>
      </c>
      <c r="E22" s="329">
        <f t="shared" si="1"/>
        <v>0</v>
      </c>
      <c r="F22" s="329">
        <f t="shared" si="1"/>
        <v>0</v>
      </c>
      <c r="G22" s="329">
        <f t="shared" si="1"/>
        <v>0</v>
      </c>
      <c r="H22" s="329">
        <f t="shared" si="1"/>
        <v>0</v>
      </c>
      <c r="I22" s="329">
        <f t="shared" si="1"/>
        <v>0</v>
      </c>
      <c r="J22" s="329">
        <f t="shared" si="1"/>
        <v>0</v>
      </c>
      <c r="K22" s="329">
        <f t="shared" si="1"/>
        <v>0</v>
      </c>
      <c r="L22" s="329">
        <f t="shared" si="1"/>
        <v>0</v>
      </c>
      <c r="M22" s="308">
        <f t="shared" si="0"/>
        <v>0</v>
      </c>
      <c r="N22" s="225"/>
    </row>
    <row r="23" spans="1:14" ht="12.9" customHeight="1">
      <c r="A23" s="182"/>
      <c r="B23" s="235"/>
      <c r="C23" s="235"/>
      <c r="D23" s="235"/>
      <c r="E23" s="235"/>
      <c r="F23" s="235"/>
      <c r="G23" s="235"/>
      <c r="H23" s="235"/>
      <c r="I23" s="235"/>
      <c r="J23" s="235"/>
      <c r="K23" s="235"/>
      <c r="L23" s="237"/>
      <c r="M23" s="155"/>
      <c r="N23" s="225"/>
    </row>
    <row r="24" spans="1:14" ht="12.9" customHeight="1">
      <c r="A24" s="626" t="s">
        <v>1234</v>
      </c>
      <c r="B24" s="627"/>
      <c r="C24" s="627"/>
      <c r="D24" s="627"/>
      <c r="E24" s="627"/>
      <c r="F24" s="627"/>
      <c r="G24" s="627"/>
      <c r="H24" s="627"/>
      <c r="I24" s="627"/>
      <c r="J24" s="627"/>
      <c r="K24" s="627"/>
      <c r="L24" s="627"/>
      <c r="M24" s="155"/>
      <c r="N24" s="225"/>
    </row>
    <row r="25" spans="1:14" ht="12.9" customHeight="1">
      <c r="A25" s="181" t="s">
        <v>1235</v>
      </c>
      <c r="B25" s="318"/>
      <c r="C25" s="318"/>
      <c r="D25" s="318"/>
      <c r="E25" s="318"/>
      <c r="F25" s="318"/>
      <c r="G25" s="318"/>
      <c r="H25" s="318"/>
      <c r="I25" s="318"/>
      <c r="J25" s="318"/>
      <c r="K25" s="318"/>
      <c r="L25" s="319"/>
      <c r="M25" s="308">
        <f>C25+D25+E25+F25+G25+H25+J25+L25</f>
        <v>0</v>
      </c>
      <c r="N25" s="225"/>
    </row>
    <row r="26" spans="1:14" ht="12.9" customHeight="1">
      <c r="A26" s="181" t="s">
        <v>1236</v>
      </c>
      <c r="B26" s="318"/>
      <c r="C26" s="318"/>
      <c r="D26" s="318"/>
      <c r="E26" s="318"/>
      <c r="F26" s="318"/>
      <c r="G26" s="318"/>
      <c r="H26" s="318"/>
      <c r="I26" s="318"/>
      <c r="J26" s="318"/>
      <c r="K26" s="318"/>
      <c r="L26" s="319"/>
      <c r="M26" s="308">
        <f t="shared" ref="M26:M36" si="2">C26+D26+E26+F26+G26+H26+J26+L26</f>
        <v>0</v>
      </c>
      <c r="N26" s="225"/>
    </row>
    <row r="27" spans="1:14" ht="12.9" customHeight="1">
      <c r="A27" s="181" t="s">
        <v>1237</v>
      </c>
      <c r="B27" s="318"/>
      <c r="C27" s="318"/>
      <c r="D27" s="318"/>
      <c r="E27" s="318"/>
      <c r="F27" s="318"/>
      <c r="G27" s="318"/>
      <c r="H27" s="318"/>
      <c r="I27" s="318"/>
      <c r="J27" s="318"/>
      <c r="K27" s="306"/>
      <c r="L27" s="319"/>
      <c r="M27" s="308">
        <f t="shared" si="2"/>
        <v>0</v>
      </c>
      <c r="N27" s="225"/>
    </row>
    <row r="28" spans="1:14" ht="12.9" customHeight="1">
      <c r="A28" s="181" t="s">
        <v>1238</v>
      </c>
      <c r="B28" s="318"/>
      <c r="C28" s="318"/>
      <c r="D28" s="318"/>
      <c r="E28" s="318"/>
      <c r="F28" s="306"/>
      <c r="G28" s="318"/>
      <c r="H28" s="318"/>
      <c r="I28" s="318"/>
      <c r="J28" s="318"/>
      <c r="K28" s="318"/>
      <c r="L28" s="319"/>
      <c r="M28" s="308">
        <f t="shared" si="2"/>
        <v>0</v>
      </c>
      <c r="N28" s="225"/>
    </row>
    <row r="29" spans="1:14" ht="12.9" customHeight="1">
      <c r="A29" s="209" t="s">
        <v>1239</v>
      </c>
      <c r="B29" s="306"/>
      <c r="C29" s="306"/>
      <c r="D29" s="306"/>
      <c r="E29" s="306"/>
      <c r="F29" s="306"/>
      <c r="G29" s="306"/>
      <c r="H29" s="306"/>
      <c r="I29" s="306"/>
      <c r="J29" s="306"/>
      <c r="K29" s="306"/>
      <c r="L29" s="307"/>
      <c r="M29" s="308">
        <f t="shared" si="2"/>
        <v>0</v>
      </c>
      <c r="N29" s="225"/>
    </row>
    <row r="30" spans="1:14" ht="12.9" customHeight="1">
      <c r="A30" s="181" t="s">
        <v>1240</v>
      </c>
      <c r="B30" s="306"/>
      <c r="C30" s="306"/>
      <c r="D30" s="306"/>
      <c r="E30" s="306"/>
      <c r="F30" s="306"/>
      <c r="G30" s="306"/>
      <c r="H30" s="306"/>
      <c r="I30" s="306"/>
      <c r="J30" s="306"/>
      <c r="K30" s="306"/>
      <c r="L30" s="307"/>
      <c r="M30" s="308">
        <f t="shared" si="2"/>
        <v>0</v>
      </c>
      <c r="N30" s="225"/>
    </row>
    <row r="31" spans="1:14" ht="12.9" customHeight="1">
      <c r="A31" s="181" t="s">
        <v>1241</v>
      </c>
      <c r="B31" s="318"/>
      <c r="C31" s="318"/>
      <c r="D31" s="318"/>
      <c r="E31" s="318"/>
      <c r="F31" s="318"/>
      <c r="G31" s="318"/>
      <c r="H31" s="318"/>
      <c r="I31" s="318"/>
      <c r="J31" s="318"/>
      <c r="K31" s="318"/>
      <c r="L31" s="319"/>
      <c r="M31" s="308">
        <f t="shared" si="2"/>
        <v>0</v>
      </c>
      <c r="N31" s="225"/>
    </row>
    <row r="32" spans="1:14" ht="12.9" customHeight="1">
      <c r="A32" s="181" t="s">
        <v>1242</v>
      </c>
      <c r="B32" s="318"/>
      <c r="C32" s="306"/>
      <c r="D32" s="318"/>
      <c r="E32" s="318"/>
      <c r="F32" s="318"/>
      <c r="G32" s="318"/>
      <c r="H32" s="318"/>
      <c r="I32" s="318"/>
      <c r="J32" s="318"/>
      <c r="K32" s="318"/>
      <c r="L32" s="319"/>
      <c r="M32" s="308">
        <f t="shared" si="2"/>
        <v>0</v>
      </c>
      <c r="N32" s="225"/>
    </row>
    <row r="33" spans="1:14" ht="12.9" customHeight="1">
      <c r="A33" s="181" t="s">
        <v>1243</v>
      </c>
      <c r="B33" s="318"/>
      <c r="C33" s="306"/>
      <c r="D33" s="318"/>
      <c r="E33" s="318"/>
      <c r="F33" s="318"/>
      <c r="G33" s="318"/>
      <c r="H33" s="318"/>
      <c r="I33" s="306"/>
      <c r="J33" s="318"/>
      <c r="K33" s="318"/>
      <c r="L33" s="319"/>
      <c r="M33" s="308">
        <f t="shared" si="2"/>
        <v>0</v>
      </c>
      <c r="N33" s="225"/>
    </row>
    <row r="34" spans="1:14" ht="12.9" customHeight="1">
      <c r="A34" s="181" t="s">
        <v>1244</v>
      </c>
      <c r="B34" s="318"/>
      <c r="C34" s="318"/>
      <c r="D34" s="318"/>
      <c r="E34" s="318"/>
      <c r="F34" s="318"/>
      <c r="G34" s="318"/>
      <c r="H34" s="318"/>
      <c r="I34" s="318"/>
      <c r="J34" s="318"/>
      <c r="K34" s="318"/>
      <c r="L34" s="319"/>
      <c r="M34" s="308">
        <f t="shared" si="2"/>
        <v>0</v>
      </c>
      <c r="N34" s="225"/>
    </row>
    <row r="35" spans="1:14" ht="12.9" customHeight="1">
      <c r="A35" s="182"/>
      <c r="B35" s="327"/>
      <c r="C35" s="327"/>
      <c r="D35" s="327"/>
      <c r="E35" s="327"/>
      <c r="F35" s="327"/>
      <c r="G35" s="327"/>
      <c r="H35" s="327"/>
      <c r="I35" s="327"/>
      <c r="J35" s="327"/>
      <c r="K35" s="327"/>
      <c r="L35" s="328"/>
      <c r="M35" s="322"/>
      <c r="N35" s="225"/>
    </row>
    <row r="36" spans="1:14" ht="12.9" customHeight="1">
      <c r="A36" s="181" t="s">
        <v>1245</v>
      </c>
      <c r="B36" s="329">
        <f>SUM(B25:B34)</f>
        <v>0</v>
      </c>
      <c r="C36" s="329">
        <f t="shared" ref="C36:L36" si="3">SUM(C25:C34)</f>
        <v>0</v>
      </c>
      <c r="D36" s="329">
        <f t="shared" si="3"/>
        <v>0</v>
      </c>
      <c r="E36" s="329">
        <f t="shared" si="3"/>
        <v>0</v>
      </c>
      <c r="F36" s="329">
        <f t="shared" si="3"/>
        <v>0</v>
      </c>
      <c r="G36" s="329">
        <f t="shared" si="3"/>
        <v>0</v>
      </c>
      <c r="H36" s="329">
        <f t="shared" si="3"/>
        <v>0</v>
      </c>
      <c r="I36" s="329">
        <f t="shared" si="3"/>
        <v>0</v>
      </c>
      <c r="J36" s="329">
        <f t="shared" si="3"/>
        <v>0</v>
      </c>
      <c r="K36" s="329">
        <f t="shared" si="3"/>
        <v>0</v>
      </c>
      <c r="L36" s="329">
        <f t="shared" si="3"/>
        <v>0</v>
      </c>
      <c r="M36" s="308">
        <f t="shared" si="2"/>
        <v>0</v>
      </c>
      <c r="N36" s="225"/>
    </row>
    <row r="37" spans="1:14" ht="12.9" customHeight="1" thickBot="1">
      <c r="A37" s="185"/>
      <c r="B37" s="325"/>
      <c r="C37" s="325"/>
      <c r="D37" s="325"/>
      <c r="E37" s="325"/>
      <c r="F37" s="325"/>
      <c r="G37" s="325"/>
      <c r="H37" s="325"/>
      <c r="I37" s="325"/>
      <c r="J37" s="325"/>
      <c r="K37" s="325"/>
      <c r="L37" s="326"/>
      <c r="M37" s="330"/>
      <c r="N37" s="225"/>
    </row>
    <row r="38" spans="1:14" ht="12.9" customHeight="1" thickTop="1" thickBot="1">
      <c r="A38" s="193" t="s">
        <v>210</v>
      </c>
      <c r="B38" s="316">
        <f>B22+B36</f>
        <v>0</v>
      </c>
      <c r="C38" s="316">
        <f t="shared" ref="C38:L38" si="4">C22+C36</f>
        <v>0</v>
      </c>
      <c r="D38" s="316">
        <f t="shared" si="4"/>
        <v>0</v>
      </c>
      <c r="E38" s="316">
        <f t="shared" si="4"/>
        <v>0</v>
      </c>
      <c r="F38" s="316">
        <f t="shared" si="4"/>
        <v>0</v>
      </c>
      <c r="G38" s="316">
        <f t="shared" si="4"/>
        <v>0</v>
      </c>
      <c r="H38" s="316">
        <f t="shared" si="4"/>
        <v>0</v>
      </c>
      <c r="I38" s="316">
        <f t="shared" si="4"/>
        <v>0</v>
      </c>
      <c r="J38" s="316">
        <f t="shared" si="4"/>
        <v>0</v>
      </c>
      <c r="K38" s="316">
        <f t="shared" si="4"/>
        <v>0</v>
      </c>
      <c r="L38" s="331">
        <f t="shared" si="4"/>
        <v>0</v>
      </c>
      <c r="M38" s="317">
        <f t="shared" ref="M38" si="5">C38+D38+E38+F38+G38+H38+J38+L38</f>
        <v>0</v>
      </c>
      <c r="N38" s="225"/>
    </row>
    <row r="39" spans="1:14" ht="12.9" customHeight="1">
      <c r="A39" s="17"/>
      <c r="B39" s="236"/>
      <c r="C39" s="236"/>
      <c r="D39" s="236"/>
      <c r="E39" s="236"/>
      <c r="F39" s="236"/>
      <c r="G39" s="236"/>
      <c r="H39" s="236"/>
      <c r="I39" s="236"/>
      <c r="J39" s="236"/>
      <c r="K39" s="236"/>
      <c r="L39" s="236"/>
      <c r="M39" s="226"/>
      <c r="N39" s="226"/>
    </row>
    <row r="40" spans="1:14" ht="12.9" customHeight="1">
      <c r="A40" s="17"/>
      <c r="B40" s="236"/>
      <c r="C40" s="236"/>
      <c r="D40" s="236"/>
      <c r="E40" s="236"/>
      <c r="F40" s="236"/>
      <c r="G40" s="236"/>
      <c r="H40" s="236"/>
      <c r="I40" s="236"/>
      <c r="J40" s="236"/>
      <c r="K40" s="236"/>
      <c r="L40" s="236"/>
      <c r="M40" s="226"/>
      <c r="N40" s="226"/>
    </row>
    <row r="41" spans="1:14" ht="12.9" customHeight="1" thickBot="1">
      <c r="A41" s="167"/>
      <c r="B41" s="225">
        <f>IFERROR(B38,"x")</f>
        <v>0</v>
      </c>
      <c r="C41" s="225">
        <f t="shared" ref="C41:L41" si="6">IFERROR(C38,"x")</f>
        <v>0</v>
      </c>
      <c r="D41" s="225">
        <f t="shared" si="6"/>
        <v>0</v>
      </c>
      <c r="E41" s="225">
        <f t="shared" si="6"/>
        <v>0</v>
      </c>
      <c r="F41" s="225">
        <f t="shared" si="6"/>
        <v>0</v>
      </c>
      <c r="G41" s="225">
        <f t="shared" si="6"/>
        <v>0</v>
      </c>
      <c r="H41" s="225">
        <f t="shared" si="6"/>
        <v>0</v>
      </c>
      <c r="I41" s="225">
        <f t="shared" si="6"/>
        <v>0</v>
      </c>
      <c r="J41" s="225">
        <f t="shared" si="6"/>
        <v>0</v>
      </c>
      <c r="K41" s="225">
        <f t="shared" si="6"/>
        <v>0</v>
      </c>
      <c r="L41" s="225">
        <f t="shared" si="6"/>
        <v>0</v>
      </c>
      <c r="M41" s="226"/>
      <c r="N41" s="226"/>
    </row>
    <row r="42" spans="1:14" ht="12.9" customHeight="1">
      <c r="A42" s="397"/>
      <c r="B42" s="172" t="s">
        <v>1246</v>
      </c>
      <c r="C42" s="201"/>
      <c r="D42" s="201"/>
      <c r="E42" s="201"/>
      <c r="F42" s="201"/>
      <c r="G42" s="201"/>
      <c r="H42" s="201"/>
      <c r="I42" s="202"/>
      <c r="J42" s="206"/>
      <c r="K42" s="207"/>
      <c r="L42" s="397"/>
      <c r="M42" s="62"/>
    </row>
    <row r="43" spans="1:14" ht="12.9" customHeight="1" thickBot="1">
      <c r="A43" s="397"/>
      <c r="B43" s="174" t="s">
        <v>1247</v>
      </c>
      <c r="C43" s="203"/>
      <c r="D43" s="203"/>
      <c r="E43" s="203"/>
      <c r="F43" s="203"/>
      <c r="G43" s="203"/>
      <c r="H43" s="203"/>
      <c r="I43" s="204"/>
      <c r="J43" s="203"/>
      <c r="K43" s="208"/>
      <c r="L43" s="397"/>
      <c r="M43" s="168"/>
    </row>
    <row r="44" spans="1:14" ht="12.9" customHeight="1">
      <c r="A44" s="397"/>
      <c r="B44" s="373"/>
      <c r="C44" s="142" t="s">
        <v>1248</v>
      </c>
      <c r="D44" s="143"/>
      <c r="E44" s="373"/>
      <c r="F44" s="142" t="s">
        <v>1249</v>
      </c>
      <c r="G44" s="143"/>
      <c r="H44" s="373"/>
      <c r="I44" s="144" t="s">
        <v>1250</v>
      </c>
      <c r="J44" s="61"/>
      <c r="K44" s="397"/>
      <c r="L44" s="397"/>
      <c r="M44" s="168"/>
      <c r="N44" s="239"/>
    </row>
    <row r="45" spans="1:14" ht="12.9" customHeight="1">
      <c r="A45" s="397"/>
      <c r="B45" s="374"/>
      <c r="C45" s="145" t="s">
        <v>1251</v>
      </c>
      <c r="D45" s="140"/>
      <c r="E45" s="374"/>
      <c r="F45" s="145" t="s">
        <v>1252</v>
      </c>
      <c r="G45" s="140"/>
      <c r="H45" s="397"/>
      <c r="I45" s="397"/>
      <c r="J45" s="397"/>
      <c r="K45" s="397"/>
      <c r="L45" s="397"/>
      <c r="M45" s="167"/>
      <c r="N45" s="167"/>
    </row>
    <row r="46" spans="1:14" s="62" customFormat="1" ht="12.9" customHeight="1">
      <c r="A46" s="15"/>
      <c r="B46" s="15"/>
      <c r="C46" s="15"/>
      <c r="D46" s="15"/>
      <c r="E46" s="15"/>
      <c r="F46" s="15"/>
      <c r="G46" s="15"/>
      <c r="H46" s="15"/>
      <c r="I46" s="15"/>
      <c r="J46" s="15"/>
      <c r="K46" s="15"/>
      <c r="M46" s="167"/>
    </row>
    <row r="47" spans="1:14" s="62" customFormat="1" ht="12.9" customHeight="1">
      <c r="A47" s="15"/>
      <c r="B47" s="219"/>
      <c r="C47" s="219"/>
      <c r="D47" s="219"/>
      <c r="E47" s="219"/>
      <c r="F47" s="219"/>
      <c r="G47" s="219"/>
      <c r="H47" s="219"/>
      <c r="M47" s="167"/>
      <c r="N47" s="167"/>
    </row>
    <row r="48" spans="1:14" ht="12.9" customHeight="1">
      <c r="A48" s="397" t="s">
        <v>1161</v>
      </c>
      <c r="B48" s="12" t="e">
        <f>(F6-C38)</f>
        <v>#N/A</v>
      </c>
      <c r="C48" s="610" t="e">
        <f>IF(F6-C38&lt;0,"Not Ok - You are over budget on expenditures.","")</f>
        <v>#N/A</v>
      </c>
      <c r="D48" s="611"/>
      <c r="E48" s="611"/>
      <c r="F48" s="574"/>
      <c r="G48" s="397"/>
      <c r="H48" s="397"/>
      <c r="I48" s="397"/>
      <c r="J48" s="397"/>
      <c r="K48" s="397"/>
      <c r="L48" s="397"/>
      <c r="M48" s="367" t="str">
        <f>IF(ISNUMBER(SEARCH("Not Ok",C48)), "X", "")</f>
        <v/>
      </c>
    </row>
    <row r="49" spans="1:18" ht="12.9" customHeight="1">
      <c r="A49" s="397"/>
      <c r="B49" s="12"/>
      <c r="C49" s="219"/>
      <c r="D49" s="166"/>
      <c r="E49" s="166"/>
      <c r="F49" s="397"/>
      <c r="G49" s="397"/>
      <c r="H49" s="397"/>
      <c r="I49" s="397"/>
      <c r="J49" s="397"/>
      <c r="K49" s="397"/>
      <c r="L49" s="397"/>
      <c r="M49" s="367" t="str">
        <f t="shared" ref="M49:M61" si="7">IF(ISNUMBER(SEARCH("Not Ok",C49)), "X", "")</f>
        <v/>
      </c>
      <c r="O49" s="397"/>
      <c r="P49" s="397"/>
      <c r="Q49" s="397"/>
      <c r="R49" s="397"/>
    </row>
    <row r="50" spans="1:18" ht="12.9" customHeight="1">
      <c r="A50" s="375" t="s">
        <v>1248</v>
      </c>
      <c r="B50" s="376">
        <f>SUM(C11+C20+C25+C34)</f>
        <v>0</v>
      </c>
      <c r="C50" s="622" t="str">
        <f>IF(G5&lt;&gt;"x","",IF(AND(B44="x",B50&gt;0),"Not Ok - You have expenses claimed, do not also mark the exemption box.", IF(B44="x","Ok - Your Information and Assistance services are provided by other sources.",IF(B50&gt;0,"Ok - You provide expenses towards Information and Assistance.","Not Ok - You need to provide Information and Assistance expenses on Lines 64 or 69."))))</f>
        <v/>
      </c>
      <c r="D50" s="623"/>
      <c r="E50" s="623"/>
      <c r="F50" s="623"/>
      <c r="G50" s="623"/>
      <c r="H50" s="623"/>
      <c r="I50" s="623"/>
      <c r="J50" s="377"/>
      <c r="K50" s="17"/>
      <c r="L50" s="17"/>
      <c r="M50" s="367" t="str">
        <f t="shared" si="7"/>
        <v/>
      </c>
      <c r="O50" s="397"/>
      <c r="P50" s="397"/>
      <c r="Q50" s="397"/>
      <c r="R50" s="397"/>
    </row>
    <row r="51" spans="1:18" ht="12.9" customHeight="1">
      <c r="A51" s="375" t="s">
        <v>1253</v>
      </c>
      <c r="B51" s="376">
        <f>SUM(C12+C13+C14+C26+C27+C28)</f>
        <v>0</v>
      </c>
      <c r="C51" s="622" t="str">
        <f>IF(G5&lt;&gt;"x","",IF(AND(E44="x",B51&gt;0),"Not Ok - You have expenses claimed, do not also mark the exemption box.",IF(E44="x","Ok - Your Counseling/Training/Support Group services are provided by other sources.",IF(B51&gt;0," Ok - You provide expenses towards Counseling/Training/Support Groups services.","Not Ok - You need to provide Counseling/Training/Support Groups expenses on Lines 6501, 6502 or 6503."))))</f>
        <v/>
      </c>
      <c r="D51" s="574"/>
      <c r="E51" s="574"/>
      <c r="F51" s="574"/>
      <c r="G51" s="574"/>
      <c r="H51" s="574"/>
      <c r="I51" s="574"/>
      <c r="J51" s="574"/>
      <c r="K51" s="554"/>
      <c r="L51" s="397"/>
      <c r="M51" s="367" t="str">
        <f t="shared" si="7"/>
        <v/>
      </c>
      <c r="N51" s="240"/>
      <c r="O51" s="397"/>
      <c r="P51" s="397"/>
      <c r="Q51" s="397"/>
      <c r="R51" s="397"/>
    </row>
    <row r="52" spans="1:18" ht="12.9" customHeight="1">
      <c r="A52" s="375" t="s">
        <v>1254</v>
      </c>
      <c r="B52" s="376">
        <f>C19+C33</f>
        <v>0</v>
      </c>
      <c r="C52" s="622" t="str">
        <f>IF(G5&lt;&gt;"x","",IF(AND(B45="x",B52&gt;0),"Not Ok - You have expenses claimed, do not also mark the exemption box.",IF(B45="x","Ok - Your Informational Services are provided by other sources.",IF(B52&gt;0," Ok - You provide expenses towards Information Services.","Not Ok - You need to provide Information Services expenses on Line 68."))))</f>
        <v/>
      </c>
      <c r="D52" s="623"/>
      <c r="E52" s="623"/>
      <c r="F52" s="623"/>
      <c r="G52" s="623"/>
      <c r="H52" s="623"/>
      <c r="I52" s="623"/>
      <c r="J52" s="378"/>
      <c r="K52" s="397"/>
      <c r="L52" s="397"/>
      <c r="M52" s="367" t="str">
        <f t="shared" si="7"/>
        <v/>
      </c>
      <c r="O52" s="397"/>
      <c r="P52" s="397"/>
      <c r="Q52" s="397"/>
      <c r="R52" s="397"/>
    </row>
    <row r="53" spans="1:18" ht="12.9" customHeight="1">
      <c r="A53" s="375" t="s">
        <v>1252</v>
      </c>
      <c r="B53" s="376">
        <f>C15+C16+C17+C29+C30+C31</f>
        <v>0</v>
      </c>
      <c r="C53" s="622" t="str">
        <f>IF(G5&lt;&gt;"x","",IF(AND(E45="x",B53&gt;0),"Not Ok - You have expenses claimed, do not also mark the exemption box.",IF(E45="x","Ok - Your Respite Care are provided by other sources.",IF(B53&gt;0," Ok - You provide expenses towards Respite Care.","Not Ok - You need to provide Respite Care expenses on Lines 66a, 66b or 66c."))))</f>
        <v/>
      </c>
      <c r="D53" s="623"/>
      <c r="E53" s="623"/>
      <c r="F53" s="623"/>
      <c r="G53" s="623"/>
      <c r="H53" s="623"/>
      <c r="I53" s="623"/>
      <c r="J53" s="378"/>
      <c r="K53" s="397"/>
      <c r="L53" s="17"/>
      <c r="M53" s="367" t="str">
        <f t="shared" si="7"/>
        <v/>
      </c>
      <c r="O53" s="397"/>
      <c r="P53" s="397"/>
      <c r="Q53" s="397"/>
      <c r="R53" s="397"/>
    </row>
    <row r="54" spans="1:18" ht="12.9" customHeight="1">
      <c r="A54" s="375" t="s">
        <v>1250</v>
      </c>
      <c r="B54" s="376">
        <f>C18+C32</f>
        <v>0</v>
      </c>
      <c r="C54" s="622" t="str">
        <f>IF(G5&lt;&gt;"x","",IF(AND(H44="x",B54&gt;0),"Not Ok - You have expenses claimed, do not also mark the exemption box.",IF(H44="x","Ok - Your Supplemental Services are provided by other sources.",IF(B54&gt;0," Ok - You provide expenses towards Supplemental Services.","Not Ok - You need to provide Supplemental Services expenses on Line 67."))))</f>
        <v/>
      </c>
      <c r="D54" s="623"/>
      <c r="E54" s="623"/>
      <c r="F54" s="623"/>
      <c r="G54" s="623"/>
      <c r="H54" s="623"/>
      <c r="I54" s="623"/>
      <c r="J54" s="378"/>
      <c r="K54" s="397"/>
      <c r="L54" s="397"/>
      <c r="M54" s="367" t="str">
        <f>IF(ISNUMBER(SEARCH("Not Ok",C54)), "X", "")</f>
        <v/>
      </c>
      <c r="O54" s="397"/>
      <c r="P54" s="397"/>
      <c r="Q54" s="397"/>
      <c r="R54" s="397"/>
    </row>
    <row r="55" spans="1:18" ht="12.9" customHeight="1">
      <c r="A55" s="378" t="s">
        <v>1255</v>
      </c>
      <c r="B55" s="379">
        <f>IF(B54&gt;0,B54/C38, 0)</f>
        <v>0</v>
      </c>
      <c r="C55" s="622" t="str">
        <f>IF(G5&lt;&gt;"x","",IF(B55&lt;=20%,"Ok - You provide no more than 20% of your allocation to Supplemental Services.","Not Ok - You cannot provide more than 20% of your allocation to Line 67."))</f>
        <v/>
      </c>
      <c r="D55" s="623"/>
      <c r="E55" s="623"/>
      <c r="F55" s="623"/>
      <c r="G55" s="623"/>
      <c r="H55" s="623"/>
      <c r="I55" s="623"/>
      <c r="J55" s="378"/>
      <c r="K55" s="397"/>
      <c r="L55" s="397"/>
      <c r="M55" s="367" t="str">
        <f t="shared" si="7"/>
        <v/>
      </c>
      <c r="O55" s="397"/>
      <c r="P55" s="397"/>
      <c r="Q55" s="397"/>
      <c r="R55" s="397"/>
    </row>
    <row r="56" spans="1:18" ht="12.9" customHeight="1">
      <c r="A56" s="378" t="s">
        <v>1165</v>
      </c>
      <c r="B56" s="380">
        <f>SUM(D38+E38)</f>
        <v>0</v>
      </c>
      <c r="C56" s="622" t="str">
        <f>IF(G5&lt;&gt;"x","",IF(B56&gt;=(C38/3),"Ok - Minimum Match Met","Not Ok - Your Cash Match and/or In-Kind Match does not meet the Mimimum Match requirement."))</f>
        <v/>
      </c>
      <c r="D56" s="623"/>
      <c r="E56" s="623"/>
      <c r="F56" s="623"/>
      <c r="G56" s="623"/>
      <c r="H56" s="623"/>
      <c r="I56" s="623"/>
      <c r="J56" s="378"/>
      <c r="K56" s="397"/>
      <c r="L56" s="397"/>
      <c r="M56" s="367" t="str">
        <f t="shared" si="7"/>
        <v/>
      </c>
      <c r="O56" s="397"/>
      <c r="P56" s="397"/>
      <c r="Q56" s="397"/>
      <c r="R56" s="397"/>
    </row>
    <row r="57" spans="1:18" ht="12.9" customHeight="1">
      <c r="A57" s="378" t="s">
        <v>1166</v>
      </c>
      <c r="B57" s="376">
        <f>ROUNDUP(C38/3,0)</f>
        <v>0</v>
      </c>
      <c r="C57" s="378" t="s">
        <v>1167</v>
      </c>
      <c r="D57" s="378"/>
      <c r="E57" s="378"/>
      <c r="F57" s="378"/>
      <c r="G57" s="378"/>
      <c r="H57" s="378"/>
      <c r="I57" s="378"/>
      <c r="J57" s="378"/>
      <c r="K57" s="397"/>
      <c r="L57" s="397"/>
      <c r="M57" s="367"/>
      <c r="O57" s="397"/>
      <c r="P57" s="397"/>
      <c r="Q57" s="397"/>
      <c r="R57" s="397"/>
    </row>
    <row r="58" spans="1:18" ht="18">
      <c r="A58" s="378" t="s">
        <v>1256</v>
      </c>
      <c r="B58" s="380">
        <f>'Alzheimers FC Support - #12219'!C38</f>
        <v>0</v>
      </c>
      <c r="C58" s="622" t="str">
        <f>IF(G5&lt;&gt;"x","",IF(B58&gt;D38,"Not Ok - Total Non-Federal Cash Match must at least equal what is claimed for AFCSP IIIE Match.",""))</f>
        <v/>
      </c>
      <c r="D58" s="623"/>
      <c r="E58" s="623"/>
      <c r="F58" s="623"/>
      <c r="G58" s="623"/>
      <c r="H58" s="623"/>
      <c r="I58" s="623"/>
      <c r="J58" s="378"/>
      <c r="K58" s="397"/>
      <c r="L58" s="397"/>
      <c r="M58" s="367" t="str">
        <f t="shared" si="7"/>
        <v/>
      </c>
      <c r="O58" s="397"/>
      <c r="P58" s="397"/>
      <c r="Q58" s="397"/>
      <c r="R58" s="397"/>
    </row>
    <row r="59" spans="1:18" ht="18">
      <c r="A59" s="375" t="str">
        <f>IF(C36&gt;0,"18 and under expenses","")</f>
        <v/>
      </c>
      <c r="B59" s="381" t="s">
        <v>1257</v>
      </c>
      <c r="C59" s="622" t="str">
        <f>IF(C36&gt;0,"If you spent any money on care recipients 18 and under enter an X to the left, otherwise leave blank.","")</f>
        <v/>
      </c>
      <c r="D59" s="619"/>
      <c r="E59" s="619"/>
      <c r="F59" s="619"/>
      <c r="G59" s="619"/>
      <c r="H59" s="619"/>
      <c r="I59" s="619"/>
      <c r="J59" s="619"/>
      <c r="K59" s="397"/>
      <c r="L59" s="397"/>
      <c r="M59" s="367"/>
      <c r="O59" s="397"/>
      <c r="P59" s="397"/>
      <c r="Q59" s="397"/>
      <c r="R59" s="397"/>
    </row>
    <row r="60" spans="1:18" ht="12.9" customHeight="1">
      <c r="A60" s="375"/>
      <c r="B60" s="382">
        <v>2</v>
      </c>
      <c r="C60" s="622" t="str">
        <f>IF(AND(B59="x",C36&gt;0),"Enter the total spent on care recipients 18 and under to the left.","")</f>
        <v/>
      </c>
      <c r="D60" s="622"/>
      <c r="E60" s="622"/>
      <c r="F60" s="622"/>
      <c r="G60" s="622"/>
      <c r="H60" s="622"/>
      <c r="I60" s="622"/>
      <c r="J60" s="622"/>
      <c r="K60" s="397"/>
      <c r="L60" s="397"/>
      <c r="M60" s="367"/>
      <c r="O60" s="397"/>
      <c r="P60" s="397"/>
      <c r="Q60" s="397"/>
      <c r="R60" s="397"/>
    </row>
    <row r="61" spans="1:18" ht="12.9" customHeight="1">
      <c r="A61" s="375" t="str">
        <f>IF(B59="x","Percent spent on care","")</f>
        <v>Percent spent on care</v>
      </c>
      <c r="B61" s="383" t="e">
        <f>IF(B59="x",(B60/C38),"")</f>
        <v>#DIV/0!</v>
      </c>
      <c r="C61" s="618" t="str">
        <f>IF(G5&lt;&gt;"x","",IF(AND(B59="x",B60=0),"Not Ok - You marked you DID spend on care recipients 18 and under, please verify.",IF(AND(B59="x",B61&gt;10%),"Not Ok - You cannot expend more than 10% on care recipients 18 and under.",IF(AND(B59="x",B61&lt;=10%),"Ok - You provide no more than 10% of your allocation on care recipients 18 and under.",""))))</f>
        <v/>
      </c>
      <c r="D61" s="619"/>
      <c r="E61" s="619"/>
      <c r="F61" s="619"/>
      <c r="G61" s="619"/>
      <c r="H61" s="619"/>
      <c r="I61" s="619"/>
      <c r="J61" s="619"/>
      <c r="K61" s="397"/>
      <c r="L61" s="397"/>
      <c r="M61" s="367" t="str">
        <f t="shared" si="7"/>
        <v/>
      </c>
      <c r="O61" s="397"/>
      <c r="P61" s="397"/>
      <c r="Q61" s="397"/>
      <c r="R61" s="397"/>
    </row>
    <row r="62" spans="1:18" ht="12.9" customHeight="1">
      <c r="A62" s="15"/>
      <c r="B62" s="205"/>
      <c r="C62" s="601"/>
      <c r="D62" s="601"/>
      <c r="E62" s="601"/>
      <c r="F62" s="601"/>
      <c r="G62" s="601"/>
      <c r="H62" s="601"/>
      <c r="I62" s="601"/>
      <c r="J62" s="574"/>
      <c r="K62" s="397"/>
      <c r="L62" s="397"/>
      <c r="M62" s="367"/>
      <c r="O62" s="397"/>
      <c r="P62" s="397"/>
      <c r="Q62" s="397"/>
      <c r="R62" s="397"/>
    </row>
    <row r="63" spans="1:18" s="15" customFormat="1" ht="12.9" customHeight="1">
      <c r="A63" s="15" t="str">
        <f>IF(B63="X","Program Income Carryover","")</f>
        <v/>
      </c>
      <c r="B63" s="227" t="str">
        <f>IF(AND(C38&gt;0,K38&gt;L38),"X","")</f>
        <v/>
      </c>
      <c r="C63" s="600" t="str">
        <f>IF(B63="x","Not Ok - You cannot claim against this contract until all prior year program income has been expended.","")</f>
        <v/>
      </c>
      <c r="D63" s="574"/>
      <c r="E63" s="574"/>
      <c r="F63" s="574"/>
      <c r="G63" s="574"/>
      <c r="H63" s="574"/>
      <c r="I63" s="574"/>
      <c r="J63" s="574"/>
      <c r="M63" s="367" t="str">
        <f t="shared" ref="M63:M65" si="8">IF(ISNUMBER(SEARCH("Not Ok",C63)), "X", "")</f>
        <v/>
      </c>
      <c r="N63" s="240"/>
      <c r="O63" s="146"/>
      <c r="P63" s="146"/>
      <c r="Q63" s="146"/>
      <c r="R63" s="146"/>
    </row>
    <row r="64" spans="1:18" s="15" customFormat="1" ht="12.9" customHeight="1">
      <c r="B64" s="227"/>
      <c r="C64" s="600"/>
      <c r="D64" s="574"/>
      <c r="E64" s="574"/>
      <c r="F64" s="574"/>
      <c r="G64" s="574"/>
      <c r="H64" s="574"/>
      <c r="I64" s="574"/>
      <c r="M64" s="367"/>
      <c r="N64" s="62"/>
    </row>
    <row r="65" spans="1:14" s="15" customFormat="1" ht="18">
      <c r="A65" s="15" t="str">
        <f>IF(B65="X","Current Year Program Income","")</f>
        <v/>
      </c>
      <c r="B65" s="227" t="str">
        <f>IF((J38&gt;I38),"X","")</f>
        <v/>
      </c>
      <c r="C65" s="600" t="str">
        <f>IF(B65="x","Not Ok - You cannot claim more in current year program income expended than has been received.","")</f>
        <v/>
      </c>
      <c r="D65" s="574"/>
      <c r="E65" s="574"/>
      <c r="F65" s="574"/>
      <c r="G65" s="574"/>
      <c r="H65" s="574"/>
      <c r="I65" s="574"/>
      <c r="J65" s="574"/>
      <c r="M65" s="367" t="str">
        <f t="shared" si="8"/>
        <v/>
      </c>
      <c r="N65" s="146"/>
    </row>
    <row r="66" spans="1:14" ht="12.9" customHeight="1">
      <c r="A66" s="397"/>
      <c r="B66" s="397"/>
      <c r="C66" s="397"/>
      <c r="D66" s="397"/>
      <c r="E66" s="397"/>
      <c r="F66" s="397"/>
      <c r="G66" s="397"/>
      <c r="H66" s="397"/>
      <c r="I66" s="397"/>
      <c r="J66" s="397"/>
      <c r="K66" s="397"/>
      <c r="L66" s="397"/>
      <c r="M66" s="367"/>
    </row>
    <row r="67" spans="1:14" ht="12.9" customHeight="1">
      <c r="A67" s="397"/>
      <c r="B67" s="397"/>
      <c r="C67" s="397"/>
      <c r="D67" s="397"/>
      <c r="E67" s="397"/>
      <c r="F67" s="397"/>
      <c r="G67" s="397"/>
      <c r="H67" s="397"/>
      <c r="I67" s="397"/>
      <c r="J67" s="397"/>
      <c r="K67" s="397"/>
      <c r="L67" s="397"/>
      <c r="M67" s="367"/>
    </row>
    <row r="68" spans="1:14" ht="12.9" customHeight="1">
      <c r="A68" s="397"/>
      <c r="B68" s="397"/>
      <c r="C68" s="397"/>
      <c r="D68" s="397"/>
      <c r="E68" s="397"/>
      <c r="F68" s="397"/>
      <c r="G68" s="397"/>
      <c r="H68" s="397"/>
      <c r="I68" s="397"/>
      <c r="J68" s="397"/>
      <c r="K68" s="397"/>
      <c r="L68" s="397"/>
      <c r="M68" s="367"/>
    </row>
    <row r="69" spans="1:14" ht="12.9" customHeight="1">
      <c r="A69" s="397"/>
      <c r="B69" s="397"/>
      <c r="C69" s="397"/>
      <c r="D69" s="397"/>
      <c r="E69" s="397"/>
      <c r="F69" s="397"/>
      <c r="G69" s="397"/>
      <c r="H69" s="397"/>
      <c r="I69" s="397"/>
      <c r="J69" s="397"/>
      <c r="K69" s="397"/>
      <c r="L69" s="397"/>
      <c r="M69" s="367"/>
    </row>
    <row r="70" spans="1:14" ht="12.9" customHeight="1">
      <c r="A70" s="397"/>
      <c r="B70" s="397"/>
      <c r="C70" s="397"/>
      <c r="D70" s="397"/>
      <c r="E70" s="397"/>
      <c r="F70" s="397"/>
      <c r="G70" s="397"/>
      <c r="H70" s="397"/>
      <c r="I70" s="397"/>
      <c r="J70" s="397"/>
      <c r="K70" s="397"/>
      <c r="L70" s="397"/>
      <c r="M70" s="367"/>
    </row>
    <row r="71" spans="1:14" ht="12.9" customHeight="1">
      <c r="A71" s="397"/>
      <c r="B71" s="397"/>
      <c r="C71" s="397"/>
      <c r="D71" s="397"/>
      <c r="E71" s="397"/>
      <c r="F71" s="397"/>
      <c r="G71" s="397"/>
      <c r="H71" s="397"/>
      <c r="I71" s="397"/>
      <c r="J71" s="397"/>
      <c r="K71" s="397"/>
      <c r="L71" s="397"/>
      <c r="M71" s="367"/>
    </row>
  </sheetData>
  <sheetProtection password="C3C4" sheet="1" objects="1" scenarios="1"/>
  <sortState ref="A11:A20">
    <sortCondition ref="A11:A20"/>
  </sortState>
  <customSheetViews>
    <customSheetView guid="{89953FCB-456A-4C2D-8912-B30825F750D3}" showPageBreaks="1" showGridLines="0" showRowCol="0" fitToPage="1">
      <selection activeCell="I45" sqref="I45"/>
      <pageMargins left="0" right="0" top="0" bottom="0" header="0" footer="0"/>
      <printOptions horizontalCentered="1"/>
      <pageSetup scale="75" orientation="landscape" r:id="rId1"/>
      <headerFooter alignWithMargins="0">
        <oddFooter>&amp;R&amp;8&amp;Z&amp;F</oddFooter>
      </headerFooter>
    </customSheetView>
  </customSheetViews>
  <mergeCells count="28">
    <mergeCell ref="C56:I56"/>
    <mergeCell ref="C55:I55"/>
    <mergeCell ref="A10:L10"/>
    <mergeCell ref="A24:L24"/>
    <mergeCell ref="C51:J51"/>
    <mergeCell ref="C64:I64"/>
    <mergeCell ref="C65:J65"/>
    <mergeCell ref="C62:J62"/>
    <mergeCell ref="C63:J63"/>
    <mergeCell ref="C58:I58"/>
    <mergeCell ref="C60:J60"/>
    <mergeCell ref="C59:J59"/>
    <mergeCell ref="A1:C1"/>
    <mergeCell ref="A2:B2"/>
    <mergeCell ref="C61:J61"/>
    <mergeCell ref="C48:F48"/>
    <mergeCell ref="B8:L8"/>
    <mergeCell ref="K1:L1"/>
    <mergeCell ref="K2:L2"/>
    <mergeCell ref="C50:I50"/>
    <mergeCell ref="C54:I54"/>
    <mergeCell ref="C52:I52"/>
    <mergeCell ref="C53:I53"/>
    <mergeCell ref="K3:L3"/>
    <mergeCell ref="E3:F3"/>
    <mergeCell ref="D4:F4"/>
    <mergeCell ref="E5:F5"/>
    <mergeCell ref="A7:L7"/>
  </mergeCells>
  <phoneticPr fontId="4" type="noConversion"/>
  <conditionalFormatting sqref="B47">
    <cfRule type="cellIs" dxfId="630" priority="107" stopIfTrue="1" operator="equal">
      <formula>"You cannot claim against this contract until all prior year program income has been expended."</formula>
    </cfRule>
  </conditionalFormatting>
  <conditionalFormatting sqref="C44">
    <cfRule type="cellIs" dxfId="629" priority="101" stopIfTrue="1" operator="equal">
      <formula>"You are over budget on expenditures."</formula>
    </cfRule>
  </conditionalFormatting>
  <conditionalFormatting sqref="B43">
    <cfRule type="cellIs" dxfId="628" priority="103" stopIfTrue="1" operator="equal">
      <formula>"You cannot claim against this contract until all prior year program income has been expended."</formula>
    </cfRule>
  </conditionalFormatting>
  <conditionalFormatting sqref="C44">
    <cfRule type="cellIs" dxfId="627" priority="104" stopIfTrue="1" operator="equal">
      <formula>"You are over budget on expenditures."</formula>
    </cfRule>
  </conditionalFormatting>
  <conditionalFormatting sqref="C44">
    <cfRule type="cellIs" dxfId="626" priority="102" stopIfTrue="1" operator="equal">
      <formula>"You are over budget on expenditures."</formula>
    </cfRule>
  </conditionalFormatting>
  <conditionalFormatting sqref="C44">
    <cfRule type="cellIs" dxfId="625" priority="100" stopIfTrue="1" operator="equal">
      <formula>"You are over budget on expenditures."</formula>
    </cfRule>
  </conditionalFormatting>
  <conditionalFormatting sqref="C44">
    <cfRule type="cellIs" dxfId="624" priority="99" stopIfTrue="1" operator="equal">
      <formula>"You are over budget on expenditures."</formula>
    </cfRule>
  </conditionalFormatting>
  <conditionalFormatting sqref="C44">
    <cfRule type="cellIs" dxfId="623" priority="98" stopIfTrue="1" operator="equal">
      <formula>"You are over budget on expenditures."</formula>
    </cfRule>
  </conditionalFormatting>
  <conditionalFormatting sqref="C44">
    <cfRule type="cellIs" dxfId="622" priority="97" stopIfTrue="1" operator="equal">
      <formula>"You are over budget on expenditures."</formula>
    </cfRule>
  </conditionalFormatting>
  <conditionalFormatting sqref="C44">
    <cfRule type="cellIs" dxfId="621" priority="96" stopIfTrue="1" operator="equal">
      <formula>"You are over budget on expenditures."</formula>
    </cfRule>
  </conditionalFormatting>
  <conditionalFormatting sqref="C44">
    <cfRule type="cellIs" dxfId="620" priority="95" stopIfTrue="1" operator="equal">
      <formula>"You are over budget on expenditures."</formula>
    </cfRule>
  </conditionalFormatting>
  <conditionalFormatting sqref="B42:B43">
    <cfRule type="cellIs" dxfId="619" priority="94" stopIfTrue="1" operator="equal">
      <formula>"You cannot claim against this contract until all prior year program income has been expended."</formula>
    </cfRule>
  </conditionalFormatting>
  <conditionalFormatting sqref="G3 M45:M47">
    <cfRule type="containsText" dxfId="618" priority="89" stopIfTrue="1" operator="containsText" text="Not Ok">
      <formula>NOT(ISERROR(SEARCH("Not Ok",G3)))</formula>
    </cfRule>
    <cfRule type="containsText" dxfId="617" priority="90" stopIfTrue="1" operator="containsText" text="Not Ok">
      <formula>NOT(ISERROR(SEARCH("Not Ok",G3)))</formula>
    </cfRule>
  </conditionalFormatting>
  <conditionalFormatting sqref="G3 M45:M47">
    <cfRule type="containsText" dxfId="616" priority="88" stopIfTrue="1" operator="containsText" text="Not Ok">
      <formula>NOT(ISERROR(SEARCH("Not Ok",G3)))</formula>
    </cfRule>
  </conditionalFormatting>
  <conditionalFormatting sqref="M43">
    <cfRule type="cellIs" dxfId="615" priority="84" stopIfTrue="1" operator="equal">
      <formula>"You are over budget on expenditures."</formula>
    </cfRule>
  </conditionalFormatting>
  <conditionalFormatting sqref="M43:M47 C60 C61:J65 C50:J50 C52:J59 C51">
    <cfRule type="containsText" dxfId="614" priority="83" operator="containsText" text="Not Ok">
      <formula>NOT(ISERROR(SEARCH("Not Ok",C43)))</formula>
    </cfRule>
  </conditionalFormatting>
  <conditionalFormatting sqref="M45">
    <cfRule type="containsText" dxfId="613" priority="82" stopIfTrue="1" operator="containsText" text="Not Ok">
      <formula>NOT(ISERROR(SEARCH("Not Ok",M45)))</formula>
    </cfRule>
  </conditionalFormatting>
  <conditionalFormatting sqref="M44">
    <cfRule type="cellIs" dxfId="612" priority="78" stopIfTrue="1" operator="equal">
      <formula>"You are over budget on expenditures."</formula>
    </cfRule>
  </conditionalFormatting>
  <conditionalFormatting sqref="C48:C49">
    <cfRule type="cellIs" dxfId="611" priority="67" stopIfTrue="1" operator="equal">
      <formula>"You are over budget on expenditures."</formula>
    </cfRule>
  </conditionalFormatting>
  <conditionalFormatting sqref="C48:E49">
    <cfRule type="containsText" dxfId="610" priority="66" operator="containsText" text="Not Ok">
      <formula>NOT(ISERROR(SEARCH("Not Ok",C48)))</formula>
    </cfRule>
  </conditionalFormatting>
  <conditionalFormatting sqref="A39">
    <cfRule type="containsText" dxfId="609" priority="59" operator="containsText" text="Enter">
      <formula>NOT(ISERROR(SEARCH("Enter",A39)))</formula>
    </cfRule>
  </conditionalFormatting>
  <conditionalFormatting sqref="K50:L50">
    <cfRule type="containsText" dxfId="608" priority="50" operator="containsText" text="Not Ok">
      <formula>NOT(ISERROR(SEARCH("Not Ok",K50)))</formula>
    </cfRule>
  </conditionalFormatting>
  <conditionalFormatting sqref="A50">
    <cfRule type="cellIs" dxfId="607" priority="47" stopIfTrue="1" operator="equal">
      <formula>"You are over budget on expenditures."</formula>
    </cfRule>
  </conditionalFormatting>
  <conditionalFormatting sqref="A50">
    <cfRule type="cellIs" dxfId="606" priority="49" stopIfTrue="1" operator="equal">
      <formula>"You are over budget on expenditures."</formula>
    </cfRule>
  </conditionalFormatting>
  <conditionalFormatting sqref="A50">
    <cfRule type="cellIs" dxfId="605" priority="48" stopIfTrue="1" operator="equal">
      <formula>"You are over budget on expenditures."</formula>
    </cfRule>
  </conditionalFormatting>
  <conditionalFormatting sqref="A50">
    <cfRule type="cellIs" dxfId="604" priority="46" stopIfTrue="1" operator="equal">
      <formula>"You are over budget on expenditures."</formula>
    </cfRule>
  </conditionalFormatting>
  <conditionalFormatting sqref="A50">
    <cfRule type="cellIs" dxfId="603" priority="45" stopIfTrue="1" operator="equal">
      <formula>"You are over budget on expenditures."</formula>
    </cfRule>
  </conditionalFormatting>
  <conditionalFormatting sqref="A50">
    <cfRule type="cellIs" dxfId="602" priority="44" stopIfTrue="1" operator="equal">
      <formula>"You are over budget on expenditures."</formula>
    </cfRule>
  </conditionalFormatting>
  <conditionalFormatting sqref="A50">
    <cfRule type="cellIs" dxfId="601" priority="43" stopIfTrue="1" operator="equal">
      <formula>"You are over budget on expenditures."</formula>
    </cfRule>
  </conditionalFormatting>
  <conditionalFormatting sqref="A50">
    <cfRule type="cellIs" dxfId="600" priority="42" stopIfTrue="1" operator="equal">
      <formula>"You are over budget on expenditures."</formula>
    </cfRule>
  </conditionalFormatting>
  <conditionalFormatting sqref="A50">
    <cfRule type="cellIs" dxfId="599" priority="41" stopIfTrue="1" operator="equal">
      <formula>"You are over budget on expenditures."</formula>
    </cfRule>
  </conditionalFormatting>
  <conditionalFormatting sqref="B59:B60">
    <cfRule type="containsText" dxfId="598" priority="40" operator="containsText" text="&quot;&quot;">
      <formula>NOT(ISERROR(SEARCH("""""",B59)))</formula>
    </cfRule>
  </conditionalFormatting>
  <conditionalFormatting sqref="N46:N48">
    <cfRule type="containsText" dxfId="597" priority="38" stopIfTrue="1" operator="containsText" text="Not Ok">
      <formula>NOT(ISERROR(SEARCH("Not Ok",N46)))</formula>
    </cfRule>
  </conditionalFormatting>
  <conditionalFormatting sqref="N44:N48">
    <cfRule type="containsText" dxfId="596" priority="37" operator="containsText" text="Not Ok">
      <formula>NOT(ISERROR(SEARCH("Not Ok",N44)))</formula>
    </cfRule>
  </conditionalFormatting>
  <conditionalFormatting sqref="B37:L37">
    <cfRule type="containsText" dxfId="595" priority="30" operator="containsText" text="Error">
      <formula>NOT(ISERROR(SEARCH("Error",B37)))</formula>
    </cfRule>
  </conditionalFormatting>
  <conditionalFormatting sqref="B63">
    <cfRule type="cellIs" dxfId="594" priority="29" stopIfTrue="1" operator="equal">
      <formula>"You cannot claim against this contract until all prior year program income has been expended."</formula>
    </cfRule>
  </conditionalFormatting>
  <conditionalFormatting sqref="N1">
    <cfRule type="containsText" dxfId="593" priority="23" operator="containsText" text="End">
      <formula>NOT(ISERROR(SEARCH("End",N1)))</formula>
    </cfRule>
  </conditionalFormatting>
  <conditionalFormatting sqref="N1">
    <cfRule type="containsText" dxfId="592" priority="22" operator="containsText" text="End">
      <formula>NOT(ISERROR(SEARCH("End",N1)))</formula>
    </cfRule>
  </conditionalFormatting>
  <conditionalFormatting sqref="N2:O2">
    <cfRule type="containsText" dxfId="591" priority="21" operator="containsText" text="Please">
      <formula>NOT(ISERROR(SEARCH("Please",N2)))</formula>
    </cfRule>
  </conditionalFormatting>
  <conditionalFormatting sqref="A40">
    <cfRule type="containsText" dxfId="590" priority="17" operator="containsText" text="Enter">
      <formula>NOT(ISERROR(SEARCH("Enter",A40)))</formula>
    </cfRule>
  </conditionalFormatting>
  <conditionalFormatting sqref="B39:L39">
    <cfRule type="containsText" dxfId="589" priority="16" operator="containsText" text="Error">
      <formula>NOT(ISERROR(SEARCH("Error",B39)))</formula>
    </cfRule>
  </conditionalFormatting>
  <conditionalFormatting sqref="B40:L40">
    <cfRule type="containsText" dxfId="588" priority="15" operator="containsText" text="Error">
      <formula>NOT(ISERROR(SEARCH("Error",B40)))</formula>
    </cfRule>
  </conditionalFormatting>
  <conditionalFormatting sqref="B23:L23">
    <cfRule type="containsText" dxfId="587" priority="14" operator="containsText" text="Error">
      <formula>NOT(ISERROR(SEARCH("Error",B23)))</formula>
    </cfRule>
  </conditionalFormatting>
  <conditionalFormatting sqref="B65">
    <cfRule type="cellIs" dxfId="586" priority="13" stopIfTrue="1" operator="equal">
      <formula>"You cannot claim against this contract until all prior year program income has been expended."</formula>
    </cfRule>
  </conditionalFormatting>
  <conditionalFormatting sqref="A1">
    <cfRule type="containsText" dxfId="585" priority="10" operator="containsText" text="End">
      <formula>NOT(ISERROR(SEARCH("End",A1)))</formula>
    </cfRule>
  </conditionalFormatting>
  <conditionalFormatting sqref="A1">
    <cfRule type="containsText" dxfId="584" priority="9" operator="containsText" text="End">
      <formula>NOT(ISERROR(SEARCH("End",A1)))</formula>
    </cfRule>
  </conditionalFormatting>
  <conditionalFormatting sqref="A2:B2">
    <cfRule type="containsText" dxfId="583" priority="8" operator="containsText" text="Please">
      <formula>NOT(ISERROR(SEARCH("Please",A2)))</formula>
    </cfRule>
  </conditionalFormatting>
  <conditionalFormatting sqref="C59:J59">
    <cfRule type="containsText" dxfId="582" priority="6" operator="containsText" text="If">
      <formula>NOT(ISERROR(SEARCH("If",C59)))</formula>
    </cfRule>
  </conditionalFormatting>
  <conditionalFormatting sqref="C60">
    <cfRule type="cellIs" dxfId="581" priority="2" operator="equal">
      <formula>"Enter"</formula>
    </cfRule>
  </conditionalFormatting>
  <conditionalFormatting sqref="C60:J60">
    <cfRule type="containsText" dxfId="580" priority="1" operator="containsText" text="Enter">
      <formula>NOT(ISERROR(SEARCH("Enter",C60)))</formula>
    </cfRule>
  </conditionalFormatting>
  <dataValidations count="1">
    <dataValidation type="whole" allowBlank="1" showInputMessage="1" showErrorMessage="1" errorTitle="Whole Number Validation" error="You must enter all dollars as whole numbers - no decimals (cents) or spaces." sqref="B25:L34 B11:L20" xr:uid="{2BBBEAE5-449E-47FE-9738-05B22915B5C3}">
      <formula1>-100000000</formula1>
      <formula2>100000000</formula2>
    </dataValidation>
  </dataValidations>
  <printOptions horizontalCentered="1"/>
  <pageMargins left="0.25" right="0.25" top="0.25" bottom="0.5" header="0" footer="0"/>
  <pageSetup scale="62" orientation="landscape" r:id="rId2"/>
  <headerFooter alignWithMargins="0">
    <oddFooter>&amp;R&amp;8&amp;Z&amp;F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00000"/>
    <pageSetUpPr fitToPage="1"/>
  </sheetPr>
  <dimension ref="A1:R56"/>
  <sheetViews>
    <sheetView showGridLines="0" zoomScaleNormal="100" workbookViewId="0">
      <pane xSplit="1" ySplit="9" topLeftCell="B10" activePane="bottomRight" state="frozen"/>
      <selection pane="topRight" activeCell="B1" sqref="B1"/>
      <selection pane="bottomLeft" activeCell="A10" sqref="A10"/>
      <selection pane="bottomRight" activeCell="B9" sqref="B9"/>
    </sheetView>
  </sheetViews>
  <sheetFormatPr defaultRowHeight="15" customHeight="1"/>
  <cols>
    <col min="1" max="1" width="31.6640625" customWidth="1"/>
    <col min="2" max="12" width="12.6640625" customWidth="1"/>
    <col min="13" max="13" width="15.6640625" style="1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1258</v>
      </c>
      <c r="L1" s="572"/>
      <c r="M1" s="15"/>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1259</v>
      </c>
      <c r="L2" s="572"/>
      <c r="M2" s="15"/>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16" t="s">
        <v>1260</v>
      </c>
      <c r="L3" s="617"/>
      <c r="M3" s="15"/>
      <c r="N3" s="62"/>
    </row>
    <row r="4" spans="1:14" s="13" customFormat="1" ht="15" customHeight="1">
      <c r="A4" s="17" t="s">
        <v>1125</v>
      </c>
      <c r="B4" s="15"/>
      <c r="C4" s="15"/>
      <c r="D4" s="608" t="e">
        <f>LOOKUP(E5,Date,'Addl Info'!B21:B33)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15"/>
      <c r="L5" s="15"/>
      <c r="M5" s="15"/>
      <c r="N5" s="15"/>
    </row>
    <row r="6" spans="1:14" s="13" customFormat="1" ht="15" customHeight="1">
      <c r="A6" s="17" t="s">
        <v>1127</v>
      </c>
      <c r="B6" s="15"/>
      <c r="C6" s="15"/>
      <c r="D6" s="15"/>
      <c r="E6" s="15"/>
      <c r="F6" s="152" t="e">
        <f>IF(D4="Non-Submission Period",0,LOOKUP(E3,CAUTAU,Allocations!J4:J92))</f>
        <v>#N/A</v>
      </c>
      <c r="G6" s="15"/>
      <c r="H6" s="15"/>
      <c r="I6" s="15"/>
      <c r="J6" s="15"/>
      <c r="K6" s="15"/>
      <c r="L6" s="15"/>
      <c r="M6" s="15"/>
      <c r="N6" s="15"/>
    </row>
    <row r="7" spans="1:14" ht="15" customHeight="1">
      <c r="A7" s="606"/>
      <c r="B7" s="607"/>
      <c r="C7" s="607"/>
      <c r="D7" s="607"/>
      <c r="E7" s="607"/>
      <c r="F7" s="607"/>
      <c r="G7" s="607"/>
      <c r="H7" s="607"/>
      <c r="I7" s="607"/>
      <c r="J7" s="607"/>
      <c r="K7" s="397"/>
      <c r="L7" s="397"/>
    </row>
    <row r="8" spans="1:14" s="2" customFormat="1" ht="15" customHeight="1" thickBot="1">
      <c r="A8" s="1"/>
      <c r="B8" s="605" t="s">
        <v>1261</v>
      </c>
      <c r="C8" s="605"/>
      <c r="D8" s="605"/>
      <c r="E8" s="605"/>
      <c r="F8" s="605"/>
      <c r="G8" s="605"/>
      <c r="H8" s="605"/>
      <c r="I8" s="605"/>
      <c r="J8" s="605"/>
    </row>
    <row r="9" spans="1:14" ht="77.099999999999994" customHeight="1">
      <c r="A9" s="187" t="s">
        <v>1128</v>
      </c>
      <c r="B9" s="179" t="s">
        <v>1262</v>
      </c>
      <c r="C9" s="180" t="s">
        <v>339</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11"/>
      <c r="N10" s="225"/>
    </row>
    <row r="11" spans="1:14" ht="12.9" customHeight="1">
      <c r="A11" s="181" t="s">
        <v>1139</v>
      </c>
      <c r="B11" s="323"/>
      <c r="C11" s="323"/>
      <c r="D11" s="323"/>
      <c r="E11" s="323"/>
      <c r="F11" s="323"/>
      <c r="G11" s="323"/>
      <c r="H11" s="323"/>
      <c r="I11" s="323"/>
      <c r="J11" s="323"/>
      <c r="K11" s="323"/>
      <c r="L11" s="324"/>
      <c r="M11" s="311"/>
      <c r="N11" s="225"/>
    </row>
    <row r="12" spans="1:14" ht="12.9" customHeight="1">
      <c r="A12" s="181" t="s">
        <v>1140</v>
      </c>
      <c r="B12" s="323"/>
      <c r="C12" s="323"/>
      <c r="D12" s="323"/>
      <c r="E12" s="323"/>
      <c r="F12" s="323"/>
      <c r="G12" s="323"/>
      <c r="H12" s="323"/>
      <c r="I12" s="323"/>
      <c r="J12" s="323"/>
      <c r="K12" s="323"/>
      <c r="L12" s="324"/>
      <c r="M12" s="311"/>
      <c r="N12" s="225"/>
    </row>
    <row r="13" spans="1:14" ht="12.9" customHeight="1">
      <c r="A13" s="181" t="s">
        <v>1141</v>
      </c>
      <c r="B13" s="323"/>
      <c r="C13" s="323"/>
      <c r="D13" s="323"/>
      <c r="E13" s="323"/>
      <c r="F13" s="323"/>
      <c r="G13" s="323"/>
      <c r="H13" s="323"/>
      <c r="I13" s="323"/>
      <c r="J13" s="323"/>
      <c r="K13" s="323"/>
      <c r="L13" s="324"/>
      <c r="M13" s="311"/>
      <c r="N13" s="225"/>
    </row>
    <row r="14" spans="1:14" ht="12.9" customHeight="1">
      <c r="A14" s="181" t="s">
        <v>1142</v>
      </c>
      <c r="B14" s="323"/>
      <c r="C14" s="323"/>
      <c r="D14" s="323"/>
      <c r="E14" s="323"/>
      <c r="F14" s="323"/>
      <c r="G14" s="323"/>
      <c r="H14" s="323"/>
      <c r="I14" s="323"/>
      <c r="J14" s="323"/>
      <c r="K14" s="323"/>
      <c r="L14" s="324"/>
      <c r="M14" s="311"/>
      <c r="N14" s="225"/>
    </row>
    <row r="15" spans="1:14" ht="12.9" customHeight="1">
      <c r="A15" s="181" t="s">
        <v>1143</v>
      </c>
      <c r="B15" s="323"/>
      <c r="C15" s="323"/>
      <c r="D15" s="323"/>
      <c r="E15" s="323"/>
      <c r="F15" s="323"/>
      <c r="G15" s="323"/>
      <c r="H15" s="323"/>
      <c r="I15" s="323"/>
      <c r="J15" s="323"/>
      <c r="K15" s="323"/>
      <c r="L15" s="324"/>
      <c r="M15" s="311"/>
      <c r="N15" s="225"/>
    </row>
    <row r="16" spans="1:14" ht="12.9" customHeight="1">
      <c r="A16" s="181" t="s">
        <v>1144</v>
      </c>
      <c r="B16" s="323"/>
      <c r="C16" s="323"/>
      <c r="D16" s="323"/>
      <c r="E16" s="323"/>
      <c r="F16" s="323"/>
      <c r="G16" s="323"/>
      <c r="H16" s="323"/>
      <c r="I16" s="323"/>
      <c r="J16" s="323"/>
      <c r="K16" s="323"/>
      <c r="L16" s="324"/>
      <c r="M16" s="311"/>
      <c r="N16" s="225"/>
    </row>
    <row r="17" spans="1:14" ht="12.9" customHeight="1">
      <c r="A17" s="181" t="s">
        <v>1145</v>
      </c>
      <c r="B17" s="323"/>
      <c r="C17" s="323"/>
      <c r="D17" s="323"/>
      <c r="E17" s="323"/>
      <c r="F17" s="323"/>
      <c r="G17" s="323"/>
      <c r="H17" s="323"/>
      <c r="I17" s="323"/>
      <c r="J17" s="323"/>
      <c r="K17" s="323"/>
      <c r="L17" s="324"/>
      <c r="M17" s="311"/>
      <c r="N17" s="225"/>
    </row>
    <row r="18" spans="1:14" ht="12.9" customHeight="1">
      <c r="A18" s="181" t="s">
        <v>1146</v>
      </c>
      <c r="B18" s="323"/>
      <c r="C18" s="323"/>
      <c r="D18" s="323"/>
      <c r="E18" s="323"/>
      <c r="F18" s="323"/>
      <c r="G18" s="323"/>
      <c r="H18" s="323"/>
      <c r="I18" s="323"/>
      <c r="J18" s="323"/>
      <c r="K18" s="323"/>
      <c r="L18" s="324"/>
      <c r="M18" s="311"/>
      <c r="N18" s="225"/>
    </row>
    <row r="19" spans="1:14" ht="12.9" customHeight="1">
      <c r="A19" s="181" t="s">
        <v>1194</v>
      </c>
      <c r="B19" s="323"/>
      <c r="C19" s="323"/>
      <c r="D19" s="323"/>
      <c r="E19" s="323"/>
      <c r="F19" s="323"/>
      <c r="G19" s="323"/>
      <c r="H19" s="323"/>
      <c r="I19" s="323"/>
      <c r="J19" s="323"/>
      <c r="K19" s="323"/>
      <c r="L19" s="324"/>
      <c r="M19" s="311"/>
      <c r="N19" s="225"/>
    </row>
    <row r="20" spans="1:14" ht="12.9" customHeight="1">
      <c r="A20" s="181" t="s">
        <v>1195</v>
      </c>
      <c r="B20" s="323"/>
      <c r="C20" s="323"/>
      <c r="D20" s="323"/>
      <c r="E20" s="323"/>
      <c r="F20" s="323"/>
      <c r="G20" s="323"/>
      <c r="H20" s="323"/>
      <c r="I20" s="323"/>
      <c r="J20" s="323"/>
      <c r="K20" s="323"/>
      <c r="L20" s="324"/>
      <c r="M20" s="311"/>
      <c r="N20" s="225"/>
    </row>
    <row r="21" spans="1:14" ht="12.9" customHeight="1">
      <c r="A21" s="181" t="s">
        <v>1149</v>
      </c>
      <c r="B21" s="323"/>
      <c r="C21" s="323"/>
      <c r="D21" s="323"/>
      <c r="E21" s="323"/>
      <c r="F21" s="323"/>
      <c r="G21" s="323"/>
      <c r="H21" s="323"/>
      <c r="I21" s="323"/>
      <c r="J21" s="323"/>
      <c r="K21" s="323"/>
      <c r="L21" s="324"/>
      <c r="M21" s="311"/>
      <c r="N21" s="225"/>
    </row>
    <row r="22" spans="1:14" ht="12.9" customHeight="1">
      <c r="A22" s="181" t="s">
        <v>1150</v>
      </c>
      <c r="B22" s="323"/>
      <c r="C22" s="323"/>
      <c r="D22" s="323"/>
      <c r="E22" s="323"/>
      <c r="F22" s="323"/>
      <c r="G22" s="323"/>
      <c r="H22" s="323"/>
      <c r="I22" s="323"/>
      <c r="J22" s="323"/>
      <c r="K22" s="323"/>
      <c r="L22" s="324"/>
      <c r="M22" s="311"/>
      <c r="N22" s="225"/>
    </row>
    <row r="23" spans="1:14" ht="12.9" customHeight="1">
      <c r="A23" s="181" t="s">
        <v>1151</v>
      </c>
      <c r="B23" s="323"/>
      <c r="C23" s="323"/>
      <c r="D23" s="323"/>
      <c r="E23" s="323"/>
      <c r="F23" s="323"/>
      <c r="G23" s="323"/>
      <c r="H23" s="323"/>
      <c r="I23" s="323"/>
      <c r="J23" s="323"/>
      <c r="K23" s="323"/>
      <c r="L23" s="324"/>
      <c r="M23" s="311"/>
      <c r="N23" s="225"/>
    </row>
    <row r="24" spans="1:14" ht="12.9" customHeight="1">
      <c r="A24" s="181" t="s">
        <v>1152</v>
      </c>
      <c r="B24" s="323"/>
      <c r="C24" s="323"/>
      <c r="D24" s="323"/>
      <c r="E24" s="323"/>
      <c r="F24" s="323"/>
      <c r="G24" s="323"/>
      <c r="H24" s="323"/>
      <c r="I24" s="323"/>
      <c r="J24" s="323"/>
      <c r="K24" s="323"/>
      <c r="L24" s="324"/>
      <c r="M24" s="311"/>
      <c r="N24" s="225"/>
    </row>
    <row r="25" spans="1:14" ht="12.9" customHeight="1">
      <c r="A25" s="191" t="s">
        <v>1196</v>
      </c>
      <c r="B25" s="323"/>
      <c r="C25" s="323"/>
      <c r="D25" s="323"/>
      <c r="E25" s="323"/>
      <c r="F25" s="323"/>
      <c r="G25" s="323"/>
      <c r="H25" s="323"/>
      <c r="I25" s="323"/>
      <c r="J25" s="323"/>
      <c r="K25" s="323"/>
      <c r="L25" s="324"/>
      <c r="M25" s="311"/>
      <c r="N25" s="225"/>
    </row>
    <row r="26" spans="1:14" ht="12.9" customHeight="1">
      <c r="A26" s="181" t="s">
        <v>1197</v>
      </c>
      <c r="B26" s="323"/>
      <c r="C26" s="323"/>
      <c r="D26" s="323"/>
      <c r="E26" s="323"/>
      <c r="F26" s="323"/>
      <c r="G26" s="323"/>
      <c r="H26" s="323"/>
      <c r="I26" s="323"/>
      <c r="J26" s="323"/>
      <c r="K26" s="323"/>
      <c r="L26" s="324"/>
      <c r="M26" s="311"/>
      <c r="N26" s="225"/>
    </row>
    <row r="27" spans="1:14" ht="12.9" customHeight="1">
      <c r="A27" s="181" t="s">
        <v>1263</v>
      </c>
      <c r="B27" s="332"/>
      <c r="C27" s="332"/>
      <c r="D27" s="323"/>
      <c r="E27" s="323"/>
      <c r="F27" s="323"/>
      <c r="G27" s="323"/>
      <c r="H27" s="323"/>
      <c r="I27" s="323"/>
      <c r="J27" s="323"/>
      <c r="K27" s="323"/>
      <c r="L27" s="324"/>
      <c r="M27" s="308" t="e">
        <f>#REF!+D27+E27+F27+C27+H27+I27+J27+K27+L27-K27-I27</f>
        <v>#REF!</v>
      </c>
      <c r="N27" s="225"/>
    </row>
    <row r="28" spans="1:14" ht="12.9" customHeight="1">
      <c r="A28" s="181"/>
      <c r="B28" s="323"/>
      <c r="C28" s="323"/>
      <c r="D28" s="323"/>
      <c r="E28" s="323"/>
      <c r="F28" s="323"/>
      <c r="G28" s="323"/>
      <c r="H28" s="323"/>
      <c r="I28" s="323"/>
      <c r="J28" s="323"/>
      <c r="K28" s="323"/>
      <c r="L28" s="324"/>
      <c r="M28" s="311"/>
      <c r="N28" s="225"/>
    </row>
    <row r="29" spans="1:14" ht="12.9" customHeight="1">
      <c r="A29" s="181"/>
      <c r="B29" s="323"/>
      <c r="C29" s="323"/>
      <c r="D29" s="323"/>
      <c r="E29" s="323"/>
      <c r="F29" s="323"/>
      <c r="G29" s="323"/>
      <c r="H29" s="323"/>
      <c r="I29" s="323"/>
      <c r="J29" s="323"/>
      <c r="K29" s="323"/>
      <c r="L29" s="324"/>
      <c r="M29" s="311"/>
      <c r="N29" s="225"/>
    </row>
    <row r="30" spans="1:14" ht="12.9" customHeight="1">
      <c r="A30" s="181"/>
      <c r="B30" s="323"/>
      <c r="C30" s="323"/>
      <c r="D30" s="323"/>
      <c r="E30" s="323"/>
      <c r="F30" s="323"/>
      <c r="G30" s="323"/>
      <c r="H30" s="323"/>
      <c r="I30" s="323"/>
      <c r="J30" s="323"/>
      <c r="K30" s="323"/>
      <c r="L30" s="324"/>
      <c r="M30" s="311"/>
      <c r="N30" s="225"/>
    </row>
    <row r="31" spans="1:14" ht="12.9" customHeight="1">
      <c r="A31" s="181"/>
      <c r="B31" s="323"/>
      <c r="C31" s="323"/>
      <c r="D31" s="323"/>
      <c r="E31" s="323"/>
      <c r="F31" s="323"/>
      <c r="G31" s="323"/>
      <c r="H31" s="323"/>
      <c r="I31" s="323"/>
      <c r="J31" s="323"/>
      <c r="K31" s="323"/>
      <c r="L31" s="324"/>
      <c r="M31" s="311"/>
      <c r="N31" s="225"/>
    </row>
    <row r="32" spans="1:14" ht="12.9" customHeight="1">
      <c r="A32" s="181"/>
      <c r="B32" s="323"/>
      <c r="C32" s="323"/>
      <c r="D32" s="323"/>
      <c r="E32" s="323"/>
      <c r="F32" s="323"/>
      <c r="G32" s="323"/>
      <c r="H32" s="323"/>
      <c r="I32" s="323"/>
      <c r="J32" s="323"/>
      <c r="K32" s="323"/>
      <c r="L32" s="324"/>
      <c r="M32" s="311"/>
      <c r="N32" s="225"/>
    </row>
    <row r="33" spans="1:14" ht="12.9" customHeight="1">
      <c r="A33" s="181"/>
      <c r="B33" s="323"/>
      <c r="C33" s="323"/>
      <c r="D33" s="323"/>
      <c r="E33" s="323"/>
      <c r="F33" s="323"/>
      <c r="G33" s="323"/>
      <c r="H33" s="323"/>
      <c r="I33" s="323"/>
      <c r="J33" s="323"/>
      <c r="K33" s="323"/>
      <c r="L33" s="324"/>
      <c r="M33" s="311"/>
      <c r="N33" s="225"/>
    </row>
    <row r="34" spans="1:14" s="15" customFormat="1" ht="12.9" customHeight="1" thickBot="1">
      <c r="A34" s="192"/>
      <c r="B34" s="314"/>
      <c r="C34" s="314"/>
      <c r="D34" s="314"/>
      <c r="E34" s="314"/>
      <c r="F34" s="314"/>
      <c r="G34" s="314"/>
      <c r="H34" s="314"/>
      <c r="I34" s="314"/>
      <c r="J34" s="314"/>
      <c r="K34" s="314"/>
      <c r="L34" s="333"/>
      <c r="M34" s="315"/>
      <c r="N34" s="225"/>
    </row>
    <row r="35" spans="1:14" s="15" customFormat="1" ht="12.9" customHeight="1" thickTop="1" thickBot="1">
      <c r="A35" s="193" t="s">
        <v>210</v>
      </c>
      <c r="B35" s="316">
        <f>B10+B11+B12+B13+B14+B15+B16+B17+B18+B19+B20+B21+B22+B23+B24+B25+B26+B27+B28+B29+B30</f>
        <v>0</v>
      </c>
      <c r="C35" s="316">
        <f>C10+C11+C12+C13+C14+C15+C16+C17+C18+C19+C20+C21+C22+C23+C24+C25+C26+C27+C28+C29+C30</f>
        <v>0</v>
      </c>
      <c r="D35" s="316">
        <f t="shared" ref="D35:L35" si="0">D10+D11+D12+D13+D14+D15+D16+D17+D18+D19+D20+D21+D22+D23+D24+D25+D26+D27+D28+D29+D30</f>
        <v>0</v>
      </c>
      <c r="E35" s="316">
        <f t="shared" si="0"/>
        <v>0</v>
      </c>
      <c r="F35" s="316">
        <f t="shared" si="0"/>
        <v>0</v>
      </c>
      <c r="G35" s="316">
        <f t="shared" si="0"/>
        <v>0</v>
      </c>
      <c r="H35" s="316">
        <f t="shared" si="0"/>
        <v>0</v>
      </c>
      <c r="I35" s="316">
        <f t="shared" si="0"/>
        <v>0</v>
      </c>
      <c r="J35" s="316">
        <f t="shared" si="0"/>
        <v>0</v>
      </c>
      <c r="K35" s="316">
        <f t="shared" si="0"/>
        <v>0</v>
      </c>
      <c r="L35" s="331">
        <f t="shared" si="0"/>
        <v>0</v>
      </c>
      <c r="M35" s="317" t="e">
        <f>#REF!+D35+E35+F35+C35+H35+I35+J35+K35+L35-I35-K35</f>
        <v>#REF!</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thickBot="1">
      <c r="B37" s="225"/>
      <c r="C37" s="225"/>
      <c r="D37" s="225"/>
      <c r="E37" s="225"/>
      <c r="F37" s="225"/>
      <c r="G37" s="225"/>
      <c r="H37" s="225"/>
      <c r="I37" s="225"/>
      <c r="J37" s="225"/>
      <c r="K37" s="225"/>
      <c r="L37" s="225"/>
      <c r="N37" s="226"/>
    </row>
    <row r="38" spans="1:14" ht="12.9" customHeight="1" thickBot="1">
      <c r="A38" s="397"/>
      <c r="B38" s="562" t="s">
        <v>1264</v>
      </c>
      <c r="C38" s="210"/>
      <c r="D38" s="146" t="s">
        <v>1265</v>
      </c>
      <c r="E38" s="12"/>
      <c r="F38" s="562"/>
      <c r="G38" s="397"/>
      <c r="H38" s="397"/>
      <c r="I38" s="12"/>
      <c r="J38" s="12"/>
      <c r="K38" s="12"/>
      <c r="L38" s="12"/>
      <c r="M38" s="62"/>
    </row>
    <row r="39" spans="1:14" ht="12.9" customHeight="1">
      <c r="A39" s="397"/>
      <c r="B39" s="147" t="s">
        <v>1266</v>
      </c>
      <c r="C39" s="397"/>
      <c r="D39" s="397"/>
      <c r="E39" s="397"/>
      <c r="F39" s="397"/>
      <c r="G39" s="397"/>
      <c r="H39" s="397"/>
      <c r="I39" s="397"/>
      <c r="J39" s="397"/>
      <c r="K39" s="397"/>
      <c r="L39" s="397"/>
      <c r="M39" s="62"/>
    </row>
    <row r="40" spans="1:14" ht="12.9" customHeight="1">
      <c r="A40" s="397"/>
      <c r="B40" s="397"/>
      <c r="C40" s="397"/>
      <c r="D40" s="397"/>
      <c r="E40" s="397"/>
      <c r="F40" s="397"/>
      <c r="G40" s="397"/>
      <c r="H40" s="397"/>
      <c r="I40" s="397"/>
      <c r="J40" s="397"/>
      <c r="K40" s="397"/>
      <c r="L40" s="397"/>
      <c r="M40" s="168" t="e">
        <f>IF(F6-#REF!&lt;0,"X","")</f>
        <v>#N/A</v>
      </c>
    </row>
    <row r="41" spans="1:14" ht="12.9" customHeight="1">
      <c r="A41" s="397"/>
      <c r="B41" s="397"/>
      <c r="C41" s="397"/>
      <c r="D41" s="397"/>
      <c r="E41" s="397"/>
      <c r="F41" s="397"/>
      <c r="G41" s="397"/>
      <c r="H41" s="397"/>
      <c r="I41" s="397"/>
      <c r="J41" s="397"/>
      <c r="K41" s="397"/>
      <c r="L41" s="397"/>
      <c r="M41" s="168" t="e">
        <f>IF(F6-#REF!&lt;0,"X","")</f>
        <v>#N/A</v>
      </c>
    </row>
    <row r="42" spans="1:14" ht="12.9" customHeight="1">
      <c r="A42" s="397"/>
      <c r="B42" s="12"/>
      <c r="C42" s="397"/>
      <c r="D42" s="397"/>
      <c r="E42" s="397"/>
      <c r="F42" s="397"/>
      <c r="G42" s="397"/>
      <c r="H42" s="397"/>
      <c r="I42" s="397"/>
      <c r="J42" s="397"/>
      <c r="K42" s="397"/>
      <c r="L42" s="397"/>
      <c r="M42" s="167"/>
    </row>
    <row r="43" spans="1:14" ht="12.9" customHeight="1">
      <c r="A43" s="15" t="s">
        <v>1161</v>
      </c>
      <c r="B43" s="372" t="e">
        <f>(F6-C35)</f>
        <v>#N/A</v>
      </c>
      <c r="C43" s="610" t="e">
        <f>IF(F6-C35&lt;0,"Not Ok - You are over budget on expenditures.","")</f>
        <v>#N/A</v>
      </c>
      <c r="D43" s="611"/>
      <c r="E43" s="611"/>
      <c r="F43" s="574"/>
      <c r="G43" s="15"/>
      <c r="H43" s="15"/>
      <c r="I43" s="15"/>
      <c r="J43" s="15"/>
      <c r="K43" s="15"/>
      <c r="L43" s="15"/>
      <c r="M43" s="367" t="str">
        <f>IF(ISNUMBER(SEARCH("Not Ok",C43)), "X", "")</f>
        <v/>
      </c>
      <c r="N43" s="166"/>
    </row>
    <row r="44" spans="1:14" ht="12.9" customHeight="1">
      <c r="A44" s="15" t="str">
        <f>IF(B44="x","IIIE Match","")</f>
        <v/>
      </c>
      <c r="B44" s="371" t="str">
        <f>IF(G5&lt;&gt;"x","",IF(C38&gt;C35,"X",""))</f>
        <v/>
      </c>
      <c r="C44" s="601" t="str">
        <f>IF(B44="x","Not Ok - Your match for IIIE exceeds your total expenditures reported.","")</f>
        <v/>
      </c>
      <c r="D44" s="601"/>
      <c r="E44" s="601"/>
      <c r="F44" s="601"/>
      <c r="G44" s="601"/>
      <c r="H44" s="601"/>
      <c r="I44" s="601"/>
      <c r="J44" s="601"/>
      <c r="K44" s="601"/>
      <c r="L44" s="601"/>
      <c r="M44" s="367" t="str">
        <f>IF(ISNUMBER(SEARCH("Not Ok",C44)), "X", "")</f>
        <v/>
      </c>
      <c r="N44" s="17"/>
    </row>
    <row r="45" spans="1:14" ht="12.9" customHeight="1">
      <c r="A45" s="15"/>
      <c r="B45" s="159"/>
      <c r="C45" s="601"/>
      <c r="D45" s="602"/>
      <c r="E45" s="602"/>
      <c r="F45" s="602"/>
      <c r="G45" s="602"/>
      <c r="H45" s="602"/>
      <c r="I45" s="602"/>
      <c r="J45" s="15"/>
      <c r="K45" s="15"/>
      <c r="L45" s="15"/>
      <c r="M45" s="367" t="str">
        <f t="shared" ref="M45:M56" si="1">IF(ISNUMBER(SEARCH("Not Ok",C45)), "X", "")</f>
        <v/>
      </c>
    </row>
    <row r="46" spans="1:14" ht="12.9" customHeight="1">
      <c r="A46" s="15"/>
      <c r="B46" s="159"/>
      <c r="C46" s="601"/>
      <c r="D46" s="601"/>
      <c r="E46" s="601"/>
      <c r="F46" s="601"/>
      <c r="G46" s="601"/>
      <c r="H46" s="601"/>
      <c r="I46" s="601"/>
      <c r="J46" s="601"/>
      <c r="K46" s="601"/>
      <c r="L46" s="601"/>
      <c r="M46" s="367" t="str">
        <f t="shared" si="1"/>
        <v/>
      </c>
      <c r="N46" s="17"/>
    </row>
    <row r="47" spans="1:14" ht="12.9" customHeight="1">
      <c r="A47" s="15"/>
      <c r="B47" s="147"/>
      <c r="C47" s="601"/>
      <c r="D47" s="602"/>
      <c r="E47" s="602"/>
      <c r="F47" s="602"/>
      <c r="G47" s="602"/>
      <c r="H47" s="602"/>
      <c r="I47" s="602"/>
      <c r="J47" s="15"/>
      <c r="K47" s="15"/>
      <c r="L47" s="15"/>
      <c r="M47" s="367" t="str">
        <f t="shared" si="1"/>
        <v/>
      </c>
    </row>
    <row r="48" spans="1:14" ht="12.9" customHeight="1">
      <c r="A48" s="15"/>
      <c r="B48" s="147"/>
      <c r="C48" s="15"/>
      <c r="D48" s="15"/>
      <c r="E48" s="15"/>
      <c r="F48" s="15"/>
      <c r="G48" s="15"/>
      <c r="H48" s="15"/>
      <c r="I48" s="15"/>
      <c r="J48" s="15"/>
      <c r="K48" s="15"/>
      <c r="L48" s="15"/>
      <c r="M48" s="367" t="str">
        <f t="shared" si="1"/>
        <v/>
      </c>
    </row>
    <row r="49" spans="1:18" ht="12.9" customHeight="1">
      <c r="A49" s="15"/>
      <c r="B49" s="147"/>
      <c r="C49" s="15"/>
      <c r="D49" s="15"/>
      <c r="E49" s="15"/>
      <c r="F49" s="15"/>
      <c r="G49" s="15"/>
      <c r="H49" s="15"/>
      <c r="I49" s="15"/>
      <c r="J49" s="15"/>
      <c r="K49" s="15"/>
      <c r="L49" s="15"/>
      <c r="M49" s="367" t="str">
        <f t="shared" si="1"/>
        <v/>
      </c>
      <c r="O49" s="397"/>
      <c r="P49" s="397"/>
      <c r="Q49" s="397"/>
      <c r="R49" s="397"/>
    </row>
    <row r="50" spans="1:18" s="15" customFormat="1" ht="12.9" customHeight="1">
      <c r="B50" s="227"/>
      <c r="C50" s="600"/>
      <c r="D50" s="574"/>
      <c r="E50" s="574"/>
      <c r="F50" s="574"/>
      <c r="G50" s="574"/>
      <c r="H50" s="574"/>
      <c r="I50" s="574"/>
      <c r="M50" s="367" t="str">
        <f t="shared" si="1"/>
        <v/>
      </c>
      <c r="N50" s="146"/>
      <c r="O50" s="146"/>
      <c r="P50" s="146"/>
      <c r="Q50" s="146"/>
      <c r="R50" s="146"/>
    </row>
    <row r="51" spans="1:18" s="15" customFormat="1" ht="12.9" customHeight="1">
      <c r="B51" s="227"/>
      <c r="C51" s="600"/>
      <c r="D51" s="574"/>
      <c r="E51" s="574"/>
      <c r="F51" s="574"/>
      <c r="G51" s="574"/>
      <c r="H51" s="574"/>
      <c r="I51" s="574"/>
      <c r="M51" s="367" t="str">
        <f t="shared" si="1"/>
        <v/>
      </c>
    </row>
    <row r="52" spans="1:18" ht="12.9" customHeight="1">
      <c r="A52" s="15"/>
      <c r="B52" s="15"/>
      <c r="C52" s="15"/>
      <c r="D52" s="15"/>
      <c r="E52" s="15"/>
      <c r="F52" s="15"/>
      <c r="G52" s="15"/>
      <c r="H52" s="15"/>
      <c r="I52" s="15"/>
      <c r="J52" s="15"/>
      <c r="K52" s="15"/>
      <c r="L52" s="15"/>
      <c r="M52" s="367" t="str">
        <f t="shared" si="1"/>
        <v/>
      </c>
      <c r="O52" s="397"/>
      <c r="P52" s="397"/>
      <c r="Q52" s="397"/>
      <c r="R52" s="397"/>
    </row>
    <row r="53" spans="1:18" ht="12.9" customHeight="1">
      <c r="A53" s="15"/>
      <c r="B53" s="15"/>
      <c r="C53" s="15"/>
      <c r="D53" s="15"/>
      <c r="E53" s="15"/>
      <c r="F53" s="15"/>
      <c r="G53" s="15"/>
      <c r="H53" s="15"/>
      <c r="I53" s="15"/>
      <c r="J53" s="15"/>
      <c r="K53" s="15"/>
      <c r="L53" s="15"/>
      <c r="M53" s="367" t="str">
        <f t="shared" si="1"/>
        <v/>
      </c>
      <c r="O53" s="397"/>
      <c r="P53" s="397"/>
      <c r="Q53" s="397"/>
      <c r="R53" s="397"/>
    </row>
    <row r="54" spans="1:18" ht="12.9" customHeight="1">
      <c r="A54" s="15"/>
      <c r="B54" s="15"/>
      <c r="C54" s="15"/>
      <c r="D54" s="15"/>
      <c r="E54" s="15"/>
      <c r="F54" s="15"/>
      <c r="G54" s="15"/>
      <c r="H54" s="15"/>
      <c r="I54" s="15"/>
      <c r="J54" s="15"/>
      <c r="K54" s="15"/>
      <c r="L54" s="15"/>
      <c r="M54" s="367" t="str">
        <f t="shared" si="1"/>
        <v/>
      </c>
      <c r="O54" s="397"/>
      <c r="P54" s="397"/>
      <c r="Q54" s="397"/>
      <c r="R54" s="397"/>
    </row>
    <row r="55" spans="1:18" ht="12.9" customHeight="1">
      <c r="A55" s="397"/>
      <c r="B55" s="397"/>
      <c r="C55" s="397"/>
      <c r="D55" s="397"/>
      <c r="E55" s="397"/>
      <c r="F55" s="397"/>
      <c r="G55" s="397"/>
      <c r="H55" s="397"/>
      <c r="I55" s="397"/>
      <c r="J55" s="397"/>
      <c r="K55" s="397"/>
      <c r="L55" s="397"/>
      <c r="M55" s="367" t="str">
        <f t="shared" si="1"/>
        <v/>
      </c>
      <c r="O55" s="397"/>
      <c r="P55" s="397"/>
      <c r="Q55" s="397"/>
      <c r="R55" s="397"/>
    </row>
    <row r="56" spans="1:18" ht="15" customHeight="1">
      <c r="A56" s="397"/>
      <c r="B56" s="397"/>
      <c r="C56" s="397"/>
      <c r="D56" s="397"/>
      <c r="E56" s="397"/>
      <c r="F56" s="397"/>
      <c r="G56" s="397"/>
      <c r="H56" s="397"/>
      <c r="I56" s="397"/>
      <c r="J56" s="397"/>
      <c r="K56" s="397"/>
      <c r="L56" s="397"/>
      <c r="M56" s="367" t="str">
        <f t="shared" si="1"/>
        <v/>
      </c>
      <c r="O56" s="397"/>
      <c r="P56" s="397"/>
      <c r="Q56" s="397"/>
      <c r="R56" s="397"/>
    </row>
  </sheetData>
  <customSheetViews>
    <customSheetView guid="{89953FCB-456A-4C2D-8912-B30825F750D3}" fitToPage="1" topLeftCell="A10">
      <selection activeCell="G35" sqref="G35"/>
      <pageMargins left="0" right="0" top="0" bottom="0" header="0" footer="0"/>
      <printOptions horizontalCentered="1"/>
      <pageSetup scale="82" orientation="landscape" horizontalDpi="300" verticalDpi="300" r:id="rId1"/>
      <headerFooter alignWithMargins="0">
        <oddFooter>&amp;R&amp;8&amp;Z&amp;F</oddFooter>
      </headerFooter>
    </customSheetView>
  </customSheetViews>
  <mergeCells count="17">
    <mergeCell ref="C43:F43"/>
    <mergeCell ref="B8:J8"/>
    <mergeCell ref="A7:J7"/>
    <mergeCell ref="K1:L1"/>
    <mergeCell ref="K2:L2"/>
    <mergeCell ref="E3:F3"/>
    <mergeCell ref="D4:F4"/>
    <mergeCell ref="E5:F5"/>
    <mergeCell ref="K3:L3"/>
    <mergeCell ref="A1:C1"/>
    <mergeCell ref="A2:B2"/>
    <mergeCell ref="C51:I51"/>
    <mergeCell ref="C44:L44"/>
    <mergeCell ref="C45:I45"/>
    <mergeCell ref="C46:L46"/>
    <mergeCell ref="C47:I47"/>
    <mergeCell ref="C50:I50"/>
  </mergeCells>
  <phoneticPr fontId="4" type="noConversion"/>
  <conditionalFormatting sqref="M40">
    <cfRule type="cellIs" dxfId="579" priority="78" stopIfTrue="1" operator="equal">
      <formula>"You are over budget on expenditures."</formula>
    </cfRule>
  </conditionalFormatting>
  <conditionalFormatting sqref="M40:M42">
    <cfRule type="containsText" dxfId="578" priority="77" operator="containsText" text="Not Ok">
      <formula>NOT(ISERROR(SEARCH("Not Ok",M40)))</formula>
    </cfRule>
  </conditionalFormatting>
  <conditionalFormatting sqref="M42">
    <cfRule type="containsText" dxfId="577" priority="76" stopIfTrue="1" operator="containsText" text="Not Ok">
      <formula>NOT(ISERROR(SEARCH("Not Ok",M42)))</formula>
    </cfRule>
  </conditionalFormatting>
  <conditionalFormatting sqref="M42">
    <cfRule type="containsText" dxfId="576" priority="74" stopIfTrue="1" operator="containsText" text="Not Ok">
      <formula>NOT(ISERROR(SEARCH("Not Ok",M42)))</formula>
    </cfRule>
    <cfRule type="containsText" dxfId="575" priority="75" stopIfTrue="1" operator="containsText" text="Not Ok">
      <formula>NOT(ISERROR(SEARCH("Not Ok",M42)))</formula>
    </cfRule>
  </conditionalFormatting>
  <conditionalFormatting sqref="M41">
    <cfRule type="cellIs" dxfId="574" priority="72" stopIfTrue="1" operator="equal">
      <formula>"You are over budget on expenditures."</formula>
    </cfRule>
  </conditionalFormatting>
  <conditionalFormatting sqref="G3">
    <cfRule type="containsText" dxfId="573" priority="67" stopIfTrue="1" operator="containsText" text="Not Ok">
      <formula>NOT(ISERROR(SEARCH("Not Ok",G3)))</formula>
    </cfRule>
    <cfRule type="containsText" dxfId="572" priority="68" stopIfTrue="1" operator="containsText" text="Not Ok">
      <formula>NOT(ISERROR(SEARCH("Not Ok",G3)))</formula>
    </cfRule>
  </conditionalFormatting>
  <conditionalFormatting sqref="G3">
    <cfRule type="containsText" dxfId="571" priority="66" stopIfTrue="1" operator="containsText" text="Not Ok">
      <formula>NOT(ISERROR(SEARCH("Not Ok",G3)))</formula>
    </cfRule>
  </conditionalFormatting>
  <conditionalFormatting sqref="C44">
    <cfRule type="containsText" dxfId="570" priority="60" stopIfTrue="1" operator="containsText" text="Not Ok">
      <formula>NOT(ISERROR(SEARCH("Not Ok",C44)))</formula>
    </cfRule>
  </conditionalFormatting>
  <conditionalFormatting sqref="C44:C47">
    <cfRule type="containsText" dxfId="569" priority="58" stopIfTrue="1" operator="containsText" text="Not Ok">
      <formula>NOT(ISERROR(SEARCH("Not Ok",C44)))</formula>
    </cfRule>
    <cfRule type="containsText" dxfId="568" priority="59" stopIfTrue="1" operator="containsText" text="Not Ok">
      <formula>NOT(ISERROR(SEARCH("Not Ok",C44)))</formula>
    </cfRule>
  </conditionalFormatting>
  <conditionalFormatting sqref="C45:H47 I47 C44">
    <cfRule type="containsText" dxfId="567" priority="57" stopIfTrue="1" operator="containsText" text="Not Ok">
      <formula>NOT(ISERROR(SEARCH("Not Ok",C44)))</formula>
    </cfRule>
  </conditionalFormatting>
  <conditionalFormatting sqref="C44:L47 G43:L43">
    <cfRule type="containsText" dxfId="566" priority="54" operator="containsText" text="Not Ok">
      <formula>NOT(ISERROR(SEARCH("Not Ok",C43)))</formula>
    </cfRule>
  </conditionalFormatting>
  <conditionalFormatting sqref="C44:L44">
    <cfRule type="containsText" dxfId="565" priority="38" operator="containsText" text="Your">
      <formula>NOT(ISERROR(SEARCH("Your",C44)))</formula>
    </cfRule>
  </conditionalFormatting>
  <conditionalFormatting sqref="N45:N47">
    <cfRule type="containsText" dxfId="564" priority="29" stopIfTrue="1" operator="containsText" text="Not Ok">
      <formula>NOT(ISERROR(SEARCH("Not Ok",N45)))</formula>
    </cfRule>
  </conditionalFormatting>
  <conditionalFormatting sqref="N43:N47">
    <cfRule type="containsText" dxfId="563" priority="28" operator="containsText" text="Not Ok">
      <formula>NOT(ISERROR(SEARCH("Not Ok",N43)))</formula>
    </cfRule>
  </conditionalFormatting>
  <conditionalFormatting sqref="M27">
    <cfRule type="containsText" dxfId="562" priority="15" operator="containsText" text="#">
      <formula>NOT(ISERROR(SEARCH("#",M27)))</formula>
    </cfRule>
  </conditionalFormatting>
  <conditionalFormatting sqref="B36:L36">
    <cfRule type="containsText" dxfId="561" priority="14" operator="containsText" text="Error">
      <formula>NOT(ISERROR(SEARCH("Error",B36)))</formula>
    </cfRule>
  </conditionalFormatting>
  <conditionalFormatting sqref="A36">
    <cfRule type="containsText" dxfId="560" priority="13" operator="containsText" text="Enter">
      <formula>NOT(ISERROR(SEARCH("Enter",A36)))</formula>
    </cfRule>
  </conditionalFormatting>
  <conditionalFormatting sqref="B50">
    <cfRule type="cellIs" dxfId="559" priority="12" stopIfTrue="1" operator="equal">
      <formula>"You cannot claim against this contract until all prior year program income has been expended."</formula>
    </cfRule>
  </conditionalFormatting>
  <conditionalFormatting sqref="C50:C51">
    <cfRule type="containsText" dxfId="558" priority="11" operator="containsText" text="You">
      <formula>NOT(ISERROR(SEARCH("You",C50)))</formula>
    </cfRule>
  </conditionalFormatting>
  <conditionalFormatting sqref="C43:F43">
    <cfRule type="containsText" dxfId="557" priority="7" operator="containsText" text="Not Ok">
      <formula>NOT(ISERROR(SEARCH("Not Ok",C43)))</formula>
    </cfRule>
  </conditionalFormatting>
  <conditionalFormatting sqref="N1">
    <cfRule type="containsText" dxfId="556" priority="6" operator="containsText" text="End">
      <formula>NOT(ISERROR(SEARCH("End",N1)))</formula>
    </cfRule>
  </conditionalFormatting>
  <conditionalFormatting sqref="N1">
    <cfRule type="containsText" dxfId="555" priority="5" operator="containsText" text="End">
      <formula>NOT(ISERROR(SEARCH("End",N1)))</formula>
    </cfRule>
  </conditionalFormatting>
  <conditionalFormatting sqref="N2">
    <cfRule type="containsText" dxfId="554" priority="4" operator="containsText" text="Please">
      <formula>NOT(ISERROR(SEARCH("Please",N2)))</formula>
    </cfRule>
  </conditionalFormatting>
  <conditionalFormatting sqref="A1">
    <cfRule type="containsText" dxfId="553" priority="3" operator="containsText" text="End">
      <formula>NOT(ISERROR(SEARCH("End",A1)))</formula>
    </cfRule>
  </conditionalFormatting>
  <conditionalFormatting sqref="A1">
    <cfRule type="containsText" dxfId="552" priority="2" operator="containsText" text="End">
      <formula>NOT(ISERROR(SEARCH("End",A1)))</formula>
    </cfRule>
  </conditionalFormatting>
  <conditionalFormatting sqref="A2:B2">
    <cfRule type="containsText" dxfId="551" priority="1" operator="containsText" text="Please">
      <formula>NOT(ISERROR(SEARCH("Please",A2)))</formula>
    </cfRule>
  </conditionalFormatting>
  <dataValidations count="1">
    <dataValidation type="whole" allowBlank="1" showInputMessage="1" showErrorMessage="1" errorTitle="Whole Number Validation" error="You must enter all dollars as whole numbers - no decimals (cents) or spaces." sqref="B27:F27" xr:uid="{9AF0239B-B341-4044-A1B6-91C226F98278}">
      <formula1>-100000000</formula1>
      <formula2>100000000</formula2>
    </dataValidation>
  </dataValidations>
  <printOptions horizontalCentered="1"/>
  <pageMargins left="0.25" right="0.25" top="0.25" bottom="0.25" header="0" footer="0"/>
  <pageSetup scale="73" orientation="landscape" horizontalDpi="300" verticalDpi="300" r:id="rId2"/>
  <headerFooter alignWithMargins="0">
    <oddFooter>&amp;R&amp;8&amp;Z&amp;F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D853B-5578-4FEC-9FCC-E0E100A83AEC}">
  <sheetPr>
    <tabColor rgb="FFFFFF00"/>
    <pageSetUpPr fitToPage="1"/>
  </sheetPr>
  <dimension ref="A1:R56"/>
  <sheetViews>
    <sheetView showGridLines="0" zoomScale="98" zoomScaleNormal="98" workbookViewId="0">
      <pane xSplit="1" ySplit="9" topLeftCell="B10" activePane="bottomRight" state="frozen"/>
      <selection pane="topRight" activeCell="B1" sqref="B1"/>
      <selection pane="bottomLeft" activeCell="A10" sqref="A10"/>
      <selection pane="bottomRight" activeCell="B10" sqref="B10"/>
    </sheetView>
  </sheetViews>
  <sheetFormatPr defaultColWidth="9.109375" defaultRowHeight="15" customHeight="1"/>
  <cols>
    <col min="1" max="1" width="31.6640625" style="397" customWidth="1"/>
    <col min="2" max="12" width="12.6640625" style="397" customWidth="1"/>
    <col min="13" max="13" width="15.6640625" style="15" customWidth="1"/>
    <col min="14" max="14" width="9.109375" style="15"/>
    <col min="15" max="16384" width="9.109375" style="397"/>
  </cols>
  <sheetData>
    <row r="1" spans="1:14" s="13" customFormat="1" ht="15" customHeight="1">
      <c r="A1" s="601" t="str">
        <f>IF(N1="x","End of Year approaching, please address errors listed below.","")</f>
        <v/>
      </c>
      <c r="B1" s="601"/>
      <c r="C1" s="601"/>
      <c r="D1" s="15"/>
      <c r="E1" s="15"/>
      <c r="F1" s="15"/>
      <c r="G1" s="15"/>
      <c r="H1" s="15"/>
      <c r="I1" s="15"/>
      <c r="J1" s="15"/>
      <c r="K1" s="604" t="s">
        <v>1258</v>
      </c>
      <c r="L1" s="572"/>
      <c r="M1" s="15"/>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1259</v>
      </c>
      <c r="L2" s="572"/>
      <c r="M2" s="15"/>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16" t="s">
        <v>1260</v>
      </c>
      <c r="L3" s="617"/>
      <c r="M3" s="15"/>
      <c r="N3" s="62"/>
    </row>
    <row r="4" spans="1:14" s="13" customFormat="1" ht="15" customHeight="1">
      <c r="A4" s="17" t="s">
        <v>1125</v>
      </c>
      <c r="B4" s="15"/>
      <c r="C4" s="15"/>
      <c r="D4" s="608" t="e">
        <f>LOOKUP(E5,Date,'Addl Info'!B21:B33)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15"/>
      <c r="L5" s="15"/>
      <c r="M5" s="15"/>
      <c r="N5" s="15"/>
    </row>
    <row r="6" spans="1:14" s="13" customFormat="1" ht="15" customHeight="1">
      <c r="A6" s="17" t="s">
        <v>1127</v>
      </c>
      <c r="B6" s="15"/>
      <c r="C6" s="15"/>
      <c r="D6" s="15"/>
      <c r="E6" s="15"/>
      <c r="F6" s="152" t="e">
        <f>IF(D4="Non-Submission Period",0,LOOKUP(E3,CAUTAU,Allocations!J4:J92))</f>
        <v>#N/A</v>
      </c>
      <c r="G6" s="15"/>
      <c r="H6" s="15"/>
      <c r="I6" s="15"/>
      <c r="J6" s="15"/>
      <c r="K6" s="15"/>
      <c r="L6" s="15"/>
      <c r="M6" s="15"/>
      <c r="N6" s="15"/>
    </row>
    <row r="7" spans="1:14" ht="15" customHeight="1">
      <c r="A7" s="606"/>
      <c r="B7" s="607"/>
      <c r="C7" s="607"/>
      <c r="D7" s="607"/>
      <c r="E7" s="607"/>
      <c r="F7" s="607"/>
      <c r="G7" s="607"/>
      <c r="H7" s="607"/>
      <c r="I7" s="607"/>
      <c r="J7" s="607"/>
    </row>
    <row r="8" spans="1:14" s="2" customFormat="1" ht="15" customHeight="1" thickBot="1">
      <c r="A8" s="1"/>
      <c r="B8" s="605" t="s">
        <v>1514</v>
      </c>
      <c r="C8" s="605"/>
      <c r="D8" s="605"/>
      <c r="E8" s="605"/>
      <c r="F8" s="605"/>
      <c r="G8" s="605"/>
      <c r="H8" s="605"/>
      <c r="I8" s="605"/>
      <c r="J8" s="605"/>
    </row>
    <row r="9" spans="1:14" ht="77.099999999999994" customHeight="1">
      <c r="A9" s="187" t="s">
        <v>1128</v>
      </c>
      <c r="B9" s="179" t="s">
        <v>1262</v>
      </c>
      <c r="C9" s="180" t="s">
        <v>339</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1267</v>
      </c>
      <c r="B10" s="332"/>
      <c r="C10" s="332"/>
      <c r="D10" s="323"/>
      <c r="E10" s="323"/>
      <c r="F10" s="323"/>
      <c r="G10" s="323"/>
      <c r="H10" s="323"/>
      <c r="I10" s="323"/>
      <c r="J10" s="323"/>
      <c r="K10" s="323"/>
      <c r="L10" s="324"/>
      <c r="M10" s="308">
        <f>C10</f>
        <v>0</v>
      </c>
      <c r="N10" s="225"/>
    </row>
    <row r="11" spans="1:14" ht="12.9" customHeight="1">
      <c r="A11" s="181" t="s">
        <v>1268</v>
      </c>
      <c r="B11" s="332"/>
      <c r="C11" s="332"/>
      <c r="D11" s="323"/>
      <c r="E11" s="323"/>
      <c r="F11" s="323"/>
      <c r="G11" s="323"/>
      <c r="H11" s="323"/>
      <c r="I11" s="323"/>
      <c r="J11" s="323"/>
      <c r="K11" s="323"/>
      <c r="L11" s="324"/>
      <c r="M11" s="308">
        <f t="shared" ref="M11:M20" si="0">C11</f>
        <v>0</v>
      </c>
      <c r="N11" s="225"/>
    </row>
    <row r="12" spans="1:14" ht="12.9" customHeight="1">
      <c r="A12" s="181" t="s">
        <v>1269</v>
      </c>
      <c r="B12" s="332"/>
      <c r="C12" s="332"/>
      <c r="D12" s="323"/>
      <c r="E12" s="323"/>
      <c r="F12" s="323"/>
      <c r="G12" s="323"/>
      <c r="H12" s="323"/>
      <c r="I12" s="323"/>
      <c r="J12" s="323"/>
      <c r="K12" s="323"/>
      <c r="L12" s="324"/>
      <c r="M12" s="308">
        <f t="shared" si="0"/>
        <v>0</v>
      </c>
      <c r="N12" s="225"/>
    </row>
    <row r="13" spans="1:14" ht="12.9" customHeight="1">
      <c r="A13" s="181" t="s">
        <v>1270</v>
      </c>
      <c r="B13" s="332"/>
      <c r="C13" s="332"/>
      <c r="D13" s="323"/>
      <c r="E13" s="323"/>
      <c r="F13" s="323"/>
      <c r="G13" s="323"/>
      <c r="H13" s="323"/>
      <c r="I13" s="323"/>
      <c r="J13" s="323"/>
      <c r="K13" s="323"/>
      <c r="L13" s="324"/>
      <c r="M13" s="308">
        <f t="shared" si="0"/>
        <v>0</v>
      </c>
      <c r="N13" s="225"/>
    </row>
    <row r="14" spans="1:14" ht="12.9" customHeight="1">
      <c r="A14" s="181" t="s">
        <v>1271</v>
      </c>
      <c r="B14" s="332"/>
      <c r="C14" s="332"/>
      <c r="D14" s="323"/>
      <c r="E14" s="323"/>
      <c r="F14" s="323"/>
      <c r="G14" s="323"/>
      <c r="H14" s="323"/>
      <c r="I14" s="323"/>
      <c r="J14" s="323"/>
      <c r="K14" s="323"/>
      <c r="L14" s="324"/>
      <c r="M14" s="308">
        <f t="shared" si="0"/>
        <v>0</v>
      </c>
      <c r="N14" s="225"/>
    </row>
    <row r="15" spans="1:14" ht="12.9" customHeight="1">
      <c r="A15" s="181" t="s">
        <v>1272</v>
      </c>
      <c r="B15" s="332"/>
      <c r="C15" s="332"/>
      <c r="D15" s="323"/>
      <c r="E15" s="323"/>
      <c r="F15" s="323"/>
      <c r="G15" s="323"/>
      <c r="H15" s="323"/>
      <c r="I15" s="323"/>
      <c r="J15" s="323"/>
      <c r="K15" s="323"/>
      <c r="L15" s="324"/>
      <c r="M15" s="308">
        <f t="shared" si="0"/>
        <v>0</v>
      </c>
      <c r="N15" s="225"/>
    </row>
    <row r="16" spans="1:14" ht="12.9" customHeight="1">
      <c r="A16" s="181" t="s">
        <v>1273</v>
      </c>
      <c r="B16" s="332"/>
      <c r="C16" s="332"/>
      <c r="D16" s="323"/>
      <c r="E16" s="323"/>
      <c r="F16" s="323"/>
      <c r="G16" s="323"/>
      <c r="H16" s="323"/>
      <c r="I16" s="323"/>
      <c r="J16" s="323"/>
      <c r="K16" s="323"/>
      <c r="L16" s="324"/>
      <c r="M16" s="308">
        <f t="shared" si="0"/>
        <v>0</v>
      </c>
      <c r="N16" s="225"/>
    </row>
    <row r="17" spans="1:14" ht="12.9" customHeight="1">
      <c r="A17" s="181" t="s">
        <v>1274</v>
      </c>
      <c r="B17" s="332"/>
      <c r="C17" s="332"/>
      <c r="D17" s="323"/>
      <c r="E17" s="323"/>
      <c r="F17" s="323"/>
      <c r="G17" s="323"/>
      <c r="H17" s="323"/>
      <c r="I17" s="323"/>
      <c r="J17" s="323"/>
      <c r="K17" s="323"/>
      <c r="L17" s="324"/>
      <c r="M17" s="308">
        <f t="shared" si="0"/>
        <v>0</v>
      </c>
      <c r="N17" s="225"/>
    </row>
    <row r="18" spans="1:14" ht="12.9" customHeight="1">
      <c r="A18" s="181" t="s">
        <v>1275</v>
      </c>
      <c r="B18" s="332"/>
      <c r="C18" s="332"/>
      <c r="D18" s="323"/>
      <c r="E18" s="323"/>
      <c r="F18" s="323"/>
      <c r="G18" s="323"/>
      <c r="H18" s="323"/>
      <c r="I18" s="323"/>
      <c r="J18" s="323"/>
      <c r="K18" s="323"/>
      <c r="L18" s="324"/>
      <c r="M18" s="308">
        <f t="shared" si="0"/>
        <v>0</v>
      </c>
      <c r="N18" s="225"/>
    </row>
    <row r="19" spans="1:14" ht="12.9" customHeight="1">
      <c r="A19" s="181" t="s">
        <v>1276</v>
      </c>
      <c r="B19" s="332"/>
      <c r="C19" s="332"/>
      <c r="D19" s="323"/>
      <c r="E19" s="323"/>
      <c r="F19" s="323"/>
      <c r="G19" s="323"/>
      <c r="H19" s="323"/>
      <c r="I19" s="323"/>
      <c r="J19" s="323"/>
      <c r="K19" s="323"/>
      <c r="L19" s="324"/>
      <c r="M19" s="308">
        <f t="shared" si="0"/>
        <v>0</v>
      </c>
      <c r="N19" s="225"/>
    </row>
    <row r="20" spans="1:14" ht="12.9" customHeight="1">
      <c r="A20" s="181" t="s">
        <v>1277</v>
      </c>
      <c r="B20" s="332"/>
      <c r="C20" s="332"/>
      <c r="D20" s="323"/>
      <c r="E20" s="323"/>
      <c r="F20" s="323"/>
      <c r="G20" s="323"/>
      <c r="H20" s="323"/>
      <c r="I20" s="323"/>
      <c r="J20" s="323"/>
      <c r="K20" s="323"/>
      <c r="L20" s="324"/>
      <c r="M20" s="308">
        <f t="shared" si="0"/>
        <v>0</v>
      </c>
      <c r="N20" s="225"/>
    </row>
    <row r="21" spans="1:14" ht="12.9" customHeight="1">
      <c r="A21" s="181"/>
      <c r="B21" s="323"/>
      <c r="C21" s="323"/>
      <c r="D21" s="323"/>
      <c r="E21" s="323"/>
      <c r="F21" s="323"/>
      <c r="G21" s="323"/>
      <c r="H21" s="323"/>
      <c r="I21" s="323"/>
      <c r="J21" s="323"/>
      <c r="K21" s="323"/>
      <c r="L21" s="324"/>
      <c r="M21" s="311"/>
      <c r="N21" s="225"/>
    </row>
    <row r="22" spans="1:14" ht="12.9" customHeight="1">
      <c r="A22" s="181"/>
      <c r="B22" s="323"/>
      <c r="C22" s="323"/>
      <c r="D22" s="323"/>
      <c r="E22" s="323"/>
      <c r="F22" s="323"/>
      <c r="G22" s="323"/>
      <c r="H22" s="323"/>
      <c r="I22" s="323"/>
      <c r="J22" s="323"/>
      <c r="K22" s="323"/>
      <c r="L22" s="324"/>
      <c r="M22" s="311"/>
      <c r="N22" s="225"/>
    </row>
    <row r="23" spans="1:14" ht="12.9" customHeight="1">
      <c r="A23" s="181"/>
      <c r="B23" s="323"/>
      <c r="C23" s="323"/>
      <c r="D23" s="323"/>
      <c r="E23" s="323"/>
      <c r="F23" s="323"/>
      <c r="G23" s="323"/>
      <c r="H23" s="323"/>
      <c r="I23" s="323"/>
      <c r="J23" s="323"/>
      <c r="K23" s="323"/>
      <c r="L23" s="324"/>
      <c r="M23" s="311"/>
      <c r="N23" s="225"/>
    </row>
    <row r="24" spans="1:14" ht="12.9" customHeight="1">
      <c r="A24" s="181"/>
      <c r="B24" s="323"/>
      <c r="C24" s="323"/>
      <c r="D24" s="323"/>
      <c r="E24" s="323"/>
      <c r="F24" s="323"/>
      <c r="G24" s="323"/>
      <c r="H24" s="323"/>
      <c r="I24" s="323"/>
      <c r="J24" s="323"/>
      <c r="K24" s="323"/>
      <c r="L24" s="324"/>
      <c r="M24" s="311"/>
      <c r="N24" s="225"/>
    </row>
    <row r="25" spans="1:14" ht="12.9" customHeight="1">
      <c r="A25" s="191"/>
      <c r="B25" s="323"/>
      <c r="C25" s="323"/>
      <c r="D25" s="323"/>
      <c r="E25" s="323"/>
      <c r="F25" s="323"/>
      <c r="G25" s="323"/>
      <c r="H25" s="323"/>
      <c r="I25" s="323"/>
      <c r="J25" s="323"/>
      <c r="K25" s="323"/>
      <c r="L25" s="324"/>
      <c r="M25" s="311"/>
      <c r="N25" s="225"/>
    </row>
    <row r="26" spans="1:14" ht="12.9" customHeight="1">
      <c r="A26" s="181"/>
      <c r="B26" s="323"/>
      <c r="C26" s="323"/>
      <c r="D26" s="323"/>
      <c r="E26" s="323"/>
      <c r="F26" s="323"/>
      <c r="G26" s="323"/>
      <c r="H26" s="323"/>
      <c r="I26" s="323"/>
      <c r="J26" s="323"/>
      <c r="K26" s="323"/>
      <c r="L26" s="324"/>
      <c r="M26" s="311"/>
      <c r="N26" s="225"/>
    </row>
    <row r="27" spans="1:14" ht="12.9" customHeight="1">
      <c r="A27" s="181"/>
      <c r="B27" s="323"/>
      <c r="C27" s="323"/>
      <c r="D27" s="323"/>
      <c r="E27" s="323"/>
      <c r="F27" s="323"/>
      <c r="G27" s="323"/>
      <c r="H27" s="323"/>
      <c r="I27" s="323"/>
      <c r="J27" s="323"/>
      <c r="K27" s="323"/>
      <c r="L27" s="324"/>
      <c r="M27" s="311"/>
      <c r="N27" s="225"/>
    </row>
    <row r="28" spans="1:14" ht="12.9" customHeight="1">
      <c r="A28" s="181"/>
      <c r="B28" s="323"/>
      <c r="C28" s="323"/>
      <c r="D28" s="323"/>
      <c r="E28" s="323"/>
      <c r="F28" s="323"/>
      <c r="G28" s="323"/>
      <c r="H28" s="323"/>
      <c r="I28" s="323"/>
      <c r="J28" s="323"/>
      <c r="K28" s="323"/>
      <c r="L28" s="324"/>
      <c r="M28" s="311"/>
      <c r="N28" s="225"/>
    </row>
    <row r="29" spans="1:14" ht="12.9" customHeight="1">
      <c r="A29" s="181"/>
      <c r="B29" s="323"/>
      <c r="C29" s="323"/>
      <c r="D29" s="323"/>
      <c r="E29" s="323"/>
      <c r="F29" s="323"/>
      <c r="G29" s="323"/>
      <c r="H29" s="323"/>
      <c r="I29" s="323"/>
      <c r="J29" s="323"/>
      <c r="K29" s="323"/>
      <c r="L29" s="324"/>
      <c r="M29" s="311"/>
      <c r="N29" s="225"/>
    </row>
    <row r="30" spans="1:14" ht="12.9" customHeight="1">
      <c r="A30" s="181"/>
      <c r="B30" s="323"/>
      <c r="C30" s="323"/>
      <c r="D30" s="323"/>
      <c r="E30" s="323"/>
      <c r="F30" s="323"/>
      <c r="G30" s="323"/>
      <c r="H30" s="323"/>
      <c r="I30" s="323"/>
      <c r="J30" s="323"/>
      <c r="K30" s="323"/>
      <c r="L30" s="324"/>
      <c r="M30" s="311"/>
      <c r="N30" s="225"/>
    </row>
    <row r="31" spans="1:14" ht="12.9" customHeight="1">
      <c r="A31" s="181"/>
      <c r="B31" s="323"/>
      <c r="C31" s="323"/>
      <c r="D31" s="323"/>
      <c r="E31" s="323"/>
      <c r="F31" s="323"/>
      <c r="G31" s="323"/>
      <c r="H31" s="323"/>
      <c r="I31" s="323"/>
      <c r="J31" s="323"/>
      <c r="K31" s="323"/>
      <c r="L31" s="324"/>
      <c r="M31" s="311"/>
      <c r="N31" s="225"/>
    </row>
    <row r="32" spans="1:14" ht="12.9" customHeight="1">
      <c r="A32" s="181"/>
      <c r="B32" s="323"/>
      <c r="C32" s="323"/>
      <c r="D32" s="323"/>
      <c r="E32" s="323"/>
      <c r="F32" s="323"/>
      <c r="G32" s="323"/>
      <c r="H32" s="323"/>
      <c r="I32" s="323"/>
      <c r="J32" s="323"/>
      <c r="K32" s="323"/>
      <c r="L32" s="324"/>
      <c r="M32" s="311"/>
      <c r="N32" s="225"/>
    </row>
    <row r="33" spans="1:14" ht="12.9" customHeight="1">
      <c r="A33" s="181"/>
      <c r="B33" s="323"/>
      <c r="C33" s="323"/>
      <c r="D33" s="323"/>
      <c r="E33" s="323"/>
      <c r="F33" s="323"/>
      <c r="G33" s="323"/>
      <c r="H33" s="323"/>
      <c r="I33" s="323"/>
      <c r="J33" s="323"/>
      <c r="K33" s="323"/>
      <c r="L33" s="324"/>
      <c r="M33" s="311"/>
      <c r="N33" s="225"/>
    </row>
    <row r="34" spans="1:14" s="15" customFormat="1" ht="12.9" customHeight="1" thickBot="1">
      <c r="A34" s="192"/>
      <c r="B34" s="314"/>
      <c r="C34" s="314"/>
      <c r="D34" s="314"/>
      <c r="E34" s="314"/>
      <c r="F34" s="314"/>
      <c r="G34" s="314"/>
      <c r="H34" s="314"/>
      <c r="I34" s="314"/>
      <c r="J34" s="314"/>
      <c r="K34" s="314"/>
      <c r="L34" s="333"/>
      <c r="M34" s="315"/>
      <c r="N34" s="225"/>
    </row>
    <row r="35" spans="1:14" s="15" customFormat="1" ht="12.9" customHeight="1" thickTop="1" thickBot="1">
      <c r="A35" s="193" t="s">
        <v>210</v>
      </c>
      <c r="B35" s="316">
        <f>SUM(B10:B34)</f>
        <v>0</v>
      </c>
      <c r="C35" s="316">
        <f t="shared" ref="C35:L35" si="1">SUM(C10:C34)</f>
        <v>0</v>
      </c>
      <c r="D35" s="316">
        <f t="shared" si="1"/>
        <v>0</v>
      </c>
      <c r="E35" s="316">
        <f t="shared" si="1"/>
        <v>0</v>
      </c>
      <c r="F35" s="316">
        <f t="shared" si="1"/>
        <v>0</v>
      </c>
      <c r="G35" s="316">
        <f t="shared" si="1"/>
        <v>0</v>
      </c>
      <c r="H35" s="316">
        <f t="shared" si="1"/>
        <v>0</v>
      </c>
      <c r="I35" s="316">
        <f t="shared" si="1"/>
        <v>0</v>
      </c>
      <c r="J35" s="316">
        <f t="shared" si="1"/>
        <v>0</v>
      </c>
      <c r="K35" s="316">
        <f t="shared" si="1"/>
        <v>0</v>
      </c>
      <c r="L35" s="316">
        <f t="shared" si="1"/>
        <v>0</v>
      </c>
      <c r="M35" s="317">
        <f>C35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thickBot="1">
      <c r="B37" s="225"/>
      <c r="C37" s="225"/>
      <c r="D37" s="225"/>
      <c r="E37" s="225"/>
      <c r="F37" s="225"/>
      <c r="G37" s="225"/>
      <c r="H37" s="225"/>
      <c r="I37" s="225"/>
      <c r="J37" s="225"/>
      <c r="K37" s="225"/>
      <c r="L37" s="225"/>
      <c r="N37" s="226"/>
    </row>
    <row r="38" spans="1:14" ht="12.9" customHeight="1" thickBot="1">
      <c r="A38" s="12"/>
      <c r="B38" s="562" t="s">
        <v>1264</v>
      </c>
      <c r="C38" s="210"/>
      <c r="D38" s="146" t="s">
        <v>1265</v>
      </c>
      <c r="I38" s="12"/>
      <c r="J38" s="12"/>
      <c r="K38" s="12"/>
      <c r="L38" s="12"/>
      <c r="M38" s="62"/>
    </row>
    <row r="39" spans="1:14" ht="12.9" customHeight="1">
      <c r="B39" s="147" t="s">
        <v>1266</v>
      </c>
      <c r="M39" s="62"/>
    </row>
    <row r="40" spans="1:14" ht="12.9" customHeight="1">
      <c r="M40" s="168" t="e">
        <f>IF(F6-#REF!&lt;0,"X","")</f>
        <v>#N/A</v>
      </c>
    </row>
    <row r="41" spans="1:14" ht="12.9" customHeight="1">
      <c r="M41" s="168" t="e">
        <f>IF(F6-#REF!&lt;0,"X","")</f>
        <v>#N/A</v>
      </c>
    </row>
    <row r="42" spans="1:14" ht="12.9" customHeight="1">
      <c r="B42" s="12"/>
      <c r="M42" s="167"/>
    </row>
    <row r="43" spans="1:14" ht="12.9" customHeight="1">
      <c r="A43" s="15" t="s">
        <v>1161</v>
      </c>
      <c r="B43" s="372" t="e">
        <f>(F6-C34)</f>
        <v>#N/A</v>
      </c>
      <c r="C43" s="610" t="e">
        <f>IF(F6-C34&lt;0,"Not Ok - You are over budget on expenditures.","")</f>
        <v>#N/A</v>
      </c>
      <c r="D43" s="611"/>
      <c r="E43" s="611"/>
      <c r="F43" s="574"/>
      <c r="G43" s="15"/>
      <c r="H43" s="15"/>
      <c r="I43" s="15"/>
      <c r="J43" s="15"/>
      <c r="K43" s="15"/>
      <c r="L43" s="15"/>
      <c r="M43" s="367" t="str">
        <f>IF(ISNUMBER(SEARCH("Not Ok",C43)), "X", "")</f>
        <v/>
      </c>
      <c r="N43" s="166"/>
    </row>
    <row r="44" spans="1:14" ht="12.9" customHeight="1">
      <c r="A44" s="15" t="s">
        <v>1278</v>
      </c>
      <c r="B44" s="399">
        <f>C38</f>
        <v>0</v>
      </c>
      <c r="C44" s="601" t="str">
        <f>IF(H44="x","Your match for IIIE exceeds your total expenditures reported.","")</f>
        <v/>
      </c>
      <c r="D44" s="601"/>
      <c r="E44" s="601"/>
      <c r="F44" s="601"/>
      <c r="G44" s="601"/>
      <c r="H44" s="601"/>
      <c r="I44" s="601"/>
      <c r="J44" s="601"/>
      <c r="K44" s="601"/>
      <c r="L44" s="601"/>
      <c r="M44" s="367" t="str">
        <f>IF(ISNUMBER(SEARCH("Not Ok",C44)), "X", "")</f>
        <v/>
      </c>
      <c r="N44" s="17"/>
    </row>
    <row r="45" spans="1:14" ht="12.9" customHeight="1">
      <c r="A45" s="397" t="s">
        <v>1279</v>
      </c>
      <c r="B45" s="372">
        <f>C10</f>
        <v>0</v>
      </c>
      <c r="C45" s="402" t="e">
        <f>B45/C$35</f>
        <v>#DIV/0!</v>
      </c>
      <c r="D45" s="601" t="e">
        <f>IF(C45&gt;0.1,"Administration Expenses cannot exceed 10%","")</f>
        <v>#DIV/0!</v>
      </c>
      <c r="E45" s="630"/>
      <c r="F45" s="630"/>
      <c r="G45" s="630"/>
      <c r="H45" s="559"/>
      <c r="I45" s="559"/>
      <c r="J45" s="15"/>
      <c r="K45" s="15"/>
      <c r="L45" s="15"/>
      <c r="M45" s="367" t="str">
        <f t="shared" ref="M45:M56" si="2">IF(ISNUMBER(SEARCH("Not Ok",C45)), "X", "")</f>
        <v/>
      </c>
    </row>
    <row r="46" spans="1:14" ht="12.9" customHeight="1">
      <c r="A46" s="15" t="s">
        <v>1280</v>
      </c>
      <c r="B46" s="372">
        <f>C11+C12+C13+C14+C15+C16</f>
        <v>0</v>
      </c>
      <c r="C46" s="402" t="e">
        <f>B46/C$35</f>
        <v>#DIV/0!</v>
      </c>
      <c r="D46" s="17"/>
      <c r="E46" s="17"/>
      <c r="F46" s="17"/>
      <c r="G46" s="17"/>
      <c r="H46" s="558"/>
      <c r="I46" s="558"/>
      <c r="J46" s="558"/>
      <c r="K46" s="558"/>
      <c r="L46" s="558"/>
      <c r="M46" s="367" t="str">
        <f t="shared" si="2"/>
        <v/>
      </c>
      <c r="N46" s="17"/>
    </row>
    <row r="47" spans="1:14" ht="12.9" customHeight="1">
      <c r="A47" s="15" t="s">
        <v>1281</v>
      </c>
      <c r="B47" s="372">
        <f>C17</f>
        <v>0</v>
      </c>
      <c r="C47" s="402" t="e">
        <f>B47/C$35</f>
        <v>#DIV/0!</v>
      </c>
      <c r="D47" s="15"/>
      <c r="E47" s="15"/>
      <c r="F47" s="15"/>
      <c r="G47" s="15"/>
      <c r="H47" s="559"/>
      <c r="I47" s="559"/>
      <c r="J47" s="15"/>
      <c r="K47" s="15"/>
      <c r="L47" s="15"/>
      <c r="M47" s="367" t="str">
        <f t="shared" si="2"/>
        <v/>
      </c>
    </row>
    <row r="48" spans="1:14" ht="12.9" customHeight="1">
      <c r="A48" s="15" t="s">
        <v>1282</v>
      </c>
      <c r="B48" s="372">
        <f>C18+C19</f>
        <v>0</v>
      </c>
      <c r="C48" s="402" t="e">
        <f>B48/C$35</f>
        <v>#DIV/0!</v>
      </c>
      <c r="D48" s="15"/>
      <c r="E48" s="15"/>
      <c r="F48" s="15"/>
      <c r="G48" s="15"/>
      <c r="H48" s="15"/>
      <c r="I48" s="15"/>
      <c r="J48" s="15"/>
      <c r="K48" s="15"/>
      <c r="L48" s="15"/>
      <c r="M48" s="367" t="str">
        <f t="shared" si="2"/>
        <v/>
      </c>
    </row>
    <row r="49" spans="1:18" ht="12.9" customHeight="1">
      <c r="A49" s="15" t="s">
        <v>1283</v>
      </c>
      <c r="B49" s="372">
        <f>C20</f>
        <v>0</v>
      </c>
      <c r="C49" s="402" t="e">
        <f>B49/C$35</f>
        <v>#DIV/0!</v>
      </c>
      <c r="D49" s="15"/>
      <c r="E49" s="15"/>
      <c r="F49" s="15"/>
      <c r="G49" s="15"/>
      <c r="H49" s="15"/>
      <c r="I49" s="15"/>
      <c r="J49" s="15"/>
      <c r="K49" s="15"/>
      <c r="L49" s="15"/>
      <c r="M49" s="367" t="str">
        <f t="shared" si="2"/>
        <v/>
      </c>
    </row>
    <row r="50" spans="1:18" s="15" customFormat="1" ht="12.9" customHeight="1">
      <c r="A50" s="15" t="str">
        <f>IF(B50="X","Program Income Carryover","")</f>
        <v/>
      </c>
      <c r="B50" s="227" t="str">
        <f>IF(K35&gt;L35,"X","")</f>
        <v/>
      </c>
      <c r="C50" s="600"/>
      <c r="D50" s="574"/>
      <c r="E50" s="574"/>
      <c r="F50" s="574"/>
      <c r="G50" s="574"/>
      <c r="H50" s="574"/>
      <c r="I50" s="574"/>
      <c r="M50" s="367" t="str">
        <f t="shared" si="2"/>
        <v/>
      </c>
      <c r="N50" s="146"/>
      <c r="O50" s="146"/>
      <c r="P50" s="146"/>
      <c r="Q50" s="146"/>
      <c r="R50" s="146"/>
    </row>
    <row r="51" spans="1:18" s="15" customFormat="1" ht="12.9" customHeight="1">
      <c r="A51" s="15" t="s">
        <v>1284</v>
      </c>
      <c r="B51" s="400">
        <v>0</v>
      </c>
      <c r="C51" s="628" t="s">
        <v>1285</v>
      </c>
      <c r="D51" s="629"/>
      <c r="E51" s="629"/>
      <c r="F51" s="629"/>
      <c r="G51" s="629"/>
      <c r="H51" s="629"/>
      <c r="I51" s="629"/>
      <c r="M51" s="367" t="str">
        <f t="shared" si="2"/>
        <v/>
      </c>
    </row>
    <row r="52" spans="1:18" ht="12.9" customHeight="1">
      <c r="A52" s="15" t="s">
        <v>1286</v>
      </c>
      <c r="B52" s="401" t="e">
        <f>B51/C35</f>
        <v>#DIV/0!</v>
      </c>
      <c r="C52" s="602" t="str">
        <f>IF(OR(N37="x",N36="x"),"Double check your columns for '#VALUE!' - this indicates an error on that line item.","")</f>
        <v/>
      </c>
      <c r="D52" s="602"/>
      <c r="E52" s="602"/>
      <c r="F52" s="602"/>
      <c r="G52" s="602"/>
      <c r="H52" s="602"/>
      <c r="I52" s="602"/>
      <c r="J52" s="574"/>
      <c r="K52" s="15"/>
      <c r="L52" s="15"/>
      <c r="M52" s="367" t="str">
        <f t="shared" si="2"/>
        <v/>
      </c>
    </row>
    <row r="53" spans="1:18" ht="12.9" customHeight="1">
      <c r="A53" s="15"/>
      <c r="B53" s="15"/>
      <c r="C53" s="15"/>
      <c r="D53" s="15"/>
      <c r="E53" s="15"/>
      <c r="F53" s="15"/>
      <c r="G53" s="15"/>
      <c r="H53" s="15"/>
      <c r="I53" s="15"/>
      <c r="J53" s="15"/>
      <c r="K53" s="15"/>
      <c r="L53" s="15"/>
      <c r="M53" s="367" t="str">
        <f t="shared" si="2"/>
        <v/>
      </c>
    </row>
    <row r="54" spans="1:18" ht="12.9" customHeight="1">
      <c r="A54" s="15"/>
      <c r="B54" s="15"/>
      <c r="C54" s="15"/>
      <c r="D54" s="15"/>
      <c r="E54" s="15"/>
      <c r="F54" s="15"/>
      <c r="G54" s="15"/>
      <c r="H54" s="15"/>
      <c r="I54" s="15"/>
      <c r="J54" s="15"/>
      <c r="K54" s="15"/>
      <c r="L54" s="15"/>
      <c r="M54" s="367" t="str">
        <f t="shared" si="2"/>
        <v/>
      </c>
    </row>
    <row r="55" spans="1:18" ht="12.9" customHeight="1">
      <c r="M55" s="367" t="str">
        <f t="shared" si="2"/>
        <v/>
      </c>
    </row>
    <row r="56" spans="1:18" ht="15" customHeight="1">
      <c r="M56" s="367" t="str">
        <f t="shared" si="2"/>
        <v/>
      </c>
    </row>
  </sheetData>
  <sheetProtection password="C3C4" sheet="1" objects="1" scenarios="1"/>
  <sortState ref="A12:R16">
    <sortCondition ref="A12:A16"/>
  </sortState>
  <mergeCells count="16">
    <mergeCell ref="A1:C1"/>
    <mergeCell ref="K1:L1"/>
    <mergeCell ref="A2:B2"/>
    <mergeCell ref="K2:L2"/>
    <mergeCell ref="E3:F3"/>
    <mergeCell ref="K3:L3"/>
    <mergeCell ref="C50:I50"/>
    <mergeCell ref="C51:I51"/>
    <mergeCell ref="C52:J52"/>
    <mergeCell ref="D45:G45"/>
    <mergeCell ref="D4:F4"/>
    <mergeCell ref="E5:F5"/>
    <mergeCell ref="A7:J7"/>
    <mergeCell ref="B8:J8"/>
    <mergeCell ref="C43:F43"/>
    <mergeCell ref="C44:L44"/>
  </mergeCells>
  <conditionalFormatting sqref="M40">
    <cfRule type="cellIs" dxfId="550" priority="41" stopIfTrue="1" operator="equal">
      <formula>"You are over budget on expenditures."</formula>
    </cfRule>
  </conditionalFormatting>
  <conditionalFormatting sqref="M40:M42">
    <cfRule type="containsText" dxfId="549" priority="40" operator="containsText" text="Not Ok">
      <formula>NOT(ISERROR(SEARCH("Not Ok",M40)))</formula>
    </cfRule>
  </conditionalFormatting>
  <conditionalFormatting sqref="M42">
    <cfRule type="containsText" dxfId="548" priority="39" stopIfTrue="1" operator="containsText" text="Not Ok">
      <formula>NOT(ISERROR(SEARCH("Not Ok",M42)))</formula>
    </cfRule>
  </conditionalFormatting>
  <conditionalFormatting sqref="M42">
    <cfRule type="containsText" dxfId="547" priority="37" stopIfTrue="1" operator="containsText" text="Not Ok">
      <formula>NOT(ISERROR(SEARCH("Not Ok",M42)))</formula>
    </cfRule>
    <cfRule type="containsText" dxfId="546" priority="38" stopIfTrue="1" operator="containsText" text="Not Ok">
      <formula>NOT(ISERROR(SEARCH("Not Ok",M42)))</formula>
    </cfRule>
  </conditionalFormatting>
  <conditionalFormatting sqref="M41">
    <cfRule type="cellIs" dxfId="545" priority="36" stopIfTrue="1" operator="equal">
      <formula>"You are over budget on expenditures."</formula>
    </cfRule>
  </conditionalFormatting>
  <conditionalFormatting sqref="G3">
    <cfRule type="containsText" dxfId="544" priority="34" stopIfTrue="1" operator="containsText" text="Not Ok">
      <formula>NOT(ISERROR(SEARCH("Not Ok",G3)))</formula>
    </cfRule>
    <cfRule type="containsText" dxfId="543" priority="35" stopIfTrue="1" operator="containsText" text="Not Ok">
      <formula>NOT(ISERROR(SEARCH("Not Ok",G3)))</formula>
    </cfRule>
  </conditionalFormatting>
  <conditionalFormatting sqref="G3">
    <cfRule type="containsText" dxfId="542" priority="33" stopIfTrue="1" operator="containsText" text="Not Ok">
      <formula>NOT(ISERROR(SEARCH("Not Ok",G3)))</formula>
    </cfRule>
  </conditionalFormatting>
  <conditionalFormatting sqref="C44">
    <cfRule type="containsText" dxfId="541" priority="32" stopIfTrue="1" operator="containsText" text="Not Ok">
      <formula>NOT(ISERROR(SEARCH("Not Ok",C44)))</formula>
    </cfRule>
  </conditionalFormatting>
  <conditionalFormatting sqref="C44">
    <cfRule type="containsText" dxfId="540" priority="30" stopIfTrue="1" operator="containsText" text="Not Ok">
      <formula>NOT(ISERROR(SEARCH("Not Ok",C44)))</formula>
    </cfRule>
    <cfRule type="containsText" dxfId="539" priority="31" stopIfTrue="1" operator="containsText" text="Not Ok">
      <formula>NOT(ISERROR(SEARCH("Not Ok",C44)))</formula>
    </cfRule>
  </conditionalFormatting>
  <conditionalFormatting sqref="H45:H47 I47 C44">
    <cfRule type="containsText" dxfId="538" priority="29" stopIfTrue="1" operator="containsText" text="Not Ok">
      <formula>NOT(ISERROR(SEARCH("Not Ok",C44)))</formula>
    </cfRule>
  </conditionalFormatting>
  <conditionalFormatting sqref="C44:L44 G43:L43 H45:L47">
    <cfRule type="containsText" dxfId="537" priority="28" operator="containsText" text="Not Ok">
      <formula>NOT(ISERROR(SEARCH("Not Ok",C43)))</formula>
    </cfRule>
  </conditionalFormatting>
  <conditionalFormatting sqref="C44:L44">
    <cfRule type="containsText" dxfId="536" priority="27" operator="containsText" text="Your">
      <formula>NOT(ISERROR(SEARCH("Your",C44)))</formula>
    </cfRule>
  </conditionalFormatting>
  <conditionalFormatting sqref="N45:N47">
    <cfRule type="containsText" dxfId="535" priority="26" stopIfTrue="1" operator="containsText" text="Not Ok">
      <formula>NOT(ISERROR(SEARCH("Not Ok",N45)))</formula>
    </cfRule>
  </conditionalFormatting>
  <conditionalFormatting sqref="N43:N47">
    <cfRule type="containsText" dxfId="534" priority="25" operator="containsText" text="Not Ok">
      <formula>NOT(ISERROR(SEARCH("Not Ok",N43)))</formula>
    </cfRule>
  </conditionalFormatting>
  <conditionalFormatting sqref="B36:L36">
    <cfRule type="containsText" dxfId="533" priority="23" operator="containsText" text="Error">
      <formula>NOT(ISERROR(SEARCH("Error",B36)))</formula>
    </cfRule>
  </conditionalFormatting>
  <conditionalFormatting sqref="A36">
    <cfRule type="containsText" dxfId="532" priority="22" operator="containsText" text="Enter">
      <formula>NOT(ISERROR(SEARCH("Enter",A36)))</formula>
    </cfRule>
  </conditionalFormatting>
  <conditionalFormatting sqref="C50">
    <cfRule type="containsText" dxfId="531" priority="20" operator="containsText" text="You">
      <formula>NOT(ISERROR(SEARCH("You",C50)))</formula>
    </cfRule>
  </conditionalFormatting>
  <conditionalFormatting sqref="N1">
    <cfRule type="containsText" dxfId="530" priority="18" operator="containsText" text="End">
      <formula>NOT(ISERROR(SEARCH("End",N1)))</formula>
    </cfRule>
  </conditionalFormatting>
  <conditionalFormatting sqref="N1">
    <cfRule type="containsText" dxfId="529" priority="17" operator="containsText" text="End">
      <formula>NOT(ISERROR(SEARCH("End",N1)))</formula>
    </cfRule>
  </conditionalFormatting>
  <conditionalFormatting sqref="N2">
    <cfRule type="containsText" dxfId="528" priority="16" operator="containsText" text="Please">
      <formula>NOT(ISERROR(SEARCH("Please",N2)))</formula>
    </cfRule>
  </conditionalFormatting>
  <conditionalFormatting sqref="A1">
    <cfRule type="containsText" dxfId="527" priority="15" operator="containsText" text="End">
      <formula>NOT(ISERROR(SEARCH("End",A1)))</formula>
    </cfRule>
  </conditionalFormatting>
  <conditionalFormatting sqref="A1">
    <cfRule type="containsText" dxfId="526" priority="14" operator="containsText" text="End">
      <formula>NOT(ISERROR(SEARCH("End",A1)))</formula>
    </cfRule>
  </conditionalFormatting>
  <conditionalFormatting sqref="A2:B2">
    <cfRule type="containsText" dxfId="525" priority="13" operator="containsText" text="Please">
      <formula>NOT(ISERROR(SEARCH("Please",A2)))</formula>
    </cfRule>
  </conditionalFormatting>
  <conditionalFormatting sqref="C43">
    <cfRule type="cellIs" dxfId="524" priority="12" stopIfTrue="1" operator="equal">
      <formula>"You are over budget on expenditures."</formula>
    </cfRule>
  </conditionalFormatting>
  <conditionalFormatting sqref="C43:E43">
    <cfRule type="containsText" dxfId="523" priority="11" operator="containsText" text="Not Ok">
      <formula>NOT(ISERROR(SEARCH("Not Ok",C43)))</formula>
    </cfRule>
  </conditionalFormatting>
  <conditionalFormatting sqref="B50">
    <cfRule type="cellIs" dxfId="522" priority="10" stopIfTrue="1" operator="equal">
      <formula>"You cannot claim against this contract until all prior year program income has been expended."</formula>
    </cfRule>
  </conditionalFormatting>
  <conditionalFormatting sqref="C45:C49">
    <cfRule type="containsText" dxfId="521" priority="8" stopIfTrue="1" operator="containsText" text="Not Ok">
      <formula>NOT(ISERROR(SEARCH("Not Ok",C45)))</formula>
    </cfRule>
    <cfRule type="containsText" dxfId="520" priority="9" stopIfTrue="1" operator="containsText" text="Not Ok">
      <formula>NOT(ISERROR(SEARCH("Not Ok",C45)))</formula>
    </cfRule>
  </conditionalFormatting>
  <conditionalFormatting sqref="C45:C49">
    <cfRule type="containsText" dxfId="519" priority="7" stopIfTrue="1" operator="containsText" text="Not Ok">
      <formula>NOT(ISERROR(SEARCH("Not Ok",C45)))</formula>
    </cfRule>
  </conditionalFormatting>
  <conditionalFormatting sqref="C45:C49">
    <cfRule type="containsText" dxfId="518" priority="6" operator="containsText" text="Not Ok">
      <formula>NOT(ISERROR(SEARCH("Not Ok",C45)))</formula>
    </cfRule>
  </conditionalFormatting>
  <conditionalFormatting sqref="C52">
    <cfRule type="containsText" dxfId="517" priority="5" operator="containsText" text="Double">
      <formula>NOT(ISERROR(SEARCH("Double",C52)))</formula>
    </cfRule>
  </conditionalFormatting>
  <conditionalFormatting sqref="D45 D46:G47">
    <cfRule type="containsText" dxfId="516" priority="4" stopIfTrue="1" operator="containsText" text="Not Ok">
      <formula>NOT(ISERROR(SEARCH("Not Ok",D45)))</formula>
    </cfRule>
  </conditionalFormatting>
  <conditionalFormatting sqref="D46:G47 D45">
    <cfRule type="containsText" dxfId="515" priority="3" operator="containsText" text="Not Ok">
      <formula>NOT(ISERROR(SEARCH("Not Ok",D45)))</formula>
    </cfRule>
  </conditionalFormatting>
  <conditionalFormatting sqref="D45:G45">
    <cfRule type="containsText" dxfId="514" priority="2" operator="containsText" text="Administration">
      <formula>NOT(ISERROR(SEARCH("Administration",D45)))</formula>
    </cfRule>
  </conditionalFormatting>
  <conditionalFormatting sqref="M10:M20">
    <cfRule type="containsText" dxfId="513" priority="1" operator="containsText" text="#">
      <formula>NOT(ISERROR(SEARCH("#",M10)))</formula>
    </cfRule>
  </conditionalFormatting>
  <dataValidations count="1">
    <dataValidation type="whole" allowBlank="1" showInputMessage="1" showErrorMessage="1" errorTitle="Whole Number Validation" error="You must enter all dollars as whole numbers - no decimals (cents) or spaces." sqref="B10:C20" xr:uid="{B4606CB0-7B69-460C-B6F9-B09995C951FD}">
      <formula1>-1000000</formula1>
      <formula2>1000000</formula2>
    </dataValidation>
  </dataValidations>
  <printOptions horizontalCentered="1"/>
  <pageMargins left="0.25" right="0.25" top="0.25" bottom="0.25" header="0" footer="0"/>
  <pageSetup scale="69" orientation="landscape" horizontalDpi="300" verticalDpi="300" r:id="rId1"/>
  <headerFooter alignWithMargins="0">
    <oddFooter>&amp;R&amp;8&amp;Z&amp;F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1:V56"/>
  <sheetViews>
    <sheetView showGridLines="0" workbookViewId="0">
      <pane xSplit="1" ySplit="10" topLeftCell="B11" activePane="bottomRight" state="frozen"/>
      <selection pane="topRight" activeCell="B1" sqref="B1"/>
      <selection pane="bottomLeft" activeCell="A11" sqref="A11"/>
      <selection pane="bottomRight" activeCell="B11" sqref="B11"/>
    </sheetView>
  </sheetViews>
  <sheetFormatPr defaultRowHeight="15" customHeight="1"/>
  <cols>
    <col min="1" max="1" width="31.6640625" customWidth="1"/>
    <col min="2" max="12" width="12.6640625" customWidth="1"/>
    <col min="13" max="13" width="15.6640625" style="1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1287</v>
      </c>
      <c r="L1" s="572"/>
      <c r="M1" s="15"/>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1288</v>
      </c>
      <c r="L2" s="572"/>
      <c r="M2" s="15"/>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16" t="s">
        <v>1289</v>
      </c>
      <c r="L3" s="617"/>
      <c r="M3" s="15"/>
      <c r="N3" s="62"/>
    </row>
    <row r="4" spans="1:14" s="13" customFormat="1" ht="15" customHeight="1">
      <c r="A4" s="17" t="s">
        <v>1125</v>
      </c>
      <c r="B4" s="15"/>
      <c r="C4" s="15"/>
      <c r="D4" s="608" t="e">
        <f>LOOKUP(E5,Date,'Addl Info'!B21:B33)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15"/>
      <c r="L5" s="15"/>
      <c r="M5" s="15"/>
      <c r="N5" s="15"/>
    </row>
    <row r="6" spans="1:14" s="13" customFormat="1" ht="15" customHeight="1">
      <c r="A6" s="17" t="s">
        <v>1127</v>
      </c>
      <c r="B6" s="15"/>
      <c r="C6" s="15"/>
      <c r="D6" s="15"/>
      <c r="E6" s="15"/>
      <c r="F6" s="152" t="e">
        <f>IF(D4="Non-Submission Period",0,LOOKUP(E3,CAUTAU,Allocations!I4:I92))</f>
        <v>#N/A</v>
      </c>
      <c r="G6" s="15"/>
      <c r="H6" s="15"/>
      <c r="I6" s="15"/>
      <c r="J6" s="15"/>
      <c r="K6" s="15"/>
      <c r="L6" s="15"/>
      <c r="M6" s="15"/>
      <c r="N6" s="15"/>
    </row>
    <row r="7" spans="1:14" ht="15" customHeight="1">
      <c r="A7" s="606"/>
      <c r="B7" s="607"/>
      <c r="C7" s="607"/>
      <c r="D7" s="607"/>
      <c r="E7" s="607"/>
      <c r="F7" s="607"/>
      <c r="G7" s="607"/>
      <c r="H7" s="607"/>
      <c r="I7" s="607"/>
      <c r="J7" s="607"/>
      <c r="K7" s="607"/>
      <c r="L7" s="607"/>
    </row>
    <row r="8" spans="1:14" s="2" customFormat="1" ht="15" customHeight="1" thickBot="1">
      <c r="A8" s="1"/>
      <c r="B8" s="605" t="s">
        <v>1515</v>
      </c>
      <c r="C8" s="605"/>
      <c r="D8" s="605"/>
      <c r="E8" s="605"/>
      <c r="F8" s="605"/>
      <c r="G8" s="605"/>
      <c r="H8" s="605"/>
      <c r="I8" s="605"/>
      <c r="J8" s="605"/>
    </row>
    <row r="9" spans="1:14" ht="77.099999999999994" customHeight="1">
      <c r="A9" s="178" t="s">
        <v>1128</v>
      </c>
      <c r="B9" s="179" t="s">
        <v>1290</v>
      </c>
      <c r="C9" s="180" t="s">
        <v>343</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11"/>
      <c r="N10" s="225">
        <f>IFERROR(M10,"x")</f>
        <v>0</v>
      </c>
    </row>
    <row r="11" spans="1:14" ht="12.9" customHeight="1">
      <c r="A11" s="181" t="s">
        <v>1139</v>
      </c>
      <c r="B11" s="306"/>
      <c r="C11" s="306"/>
      <c r="D11" s="306"/>
      <c r="E11" s="306"/>
      <c r="F11" s="306"/>
      <c r="G11" s="306"/>
      <c r="H11" s="306"/>
      <c r="I11" s="306"/>
      <c r="J11" s="306"/>
      <c r="K11" s="306"/>
      <c r="L11" s="306"/>
      <c r="M11" s="308">
        <f>G11+D11+E11+F11+C11+H11+I11+J11+K11+L11-K11-I11</f>
        <v>0</v>
      </c>
      <c r="N11" s="225">
        <f t="shared" ref="N11:N35" si="0">IFERROR(M11,"x")</f>
        <v>0</v>
      </c>
    </row>
    <row r="12" spans="1:14" ht="12.9" customHeight="1">
      <c r="A12" s="181" t="s">
        <v>1140</v>
      </c>
      <c r="B12" s="306"/>
      <c r="C12" s="306"/>
      <c r="D12" s="306"/>
      <c r="E12" s="306"/>
      <c r="F12" s="306"/>
      <c r="G12" s="306"/>
      <c r="H12" s="306"/>
      <c r="I12" s="306"/>
      <c r="J12" s="306"/>
      <c r="K12" s="306"/>
      <c r="L12" s="306"/>
      <c r="M12" s="308">
        <f t="shared" ref="M12:M26" si="1">G12+D12+E12+F12+C12+H12+I12+J12+K12+L12-K12-I12</f>
        <v>0</v>
      </c>
      <c r="N12" s="225">
        <f t="shared" si="0"/>
        <v>0</v>
      </c>
    </row>
    <row r="13" spans="1:14" ht="12.9" customHeight="1">
      <c r="A13" s="181" t="s">
        <v>1141</v>
      </c>
      <c r="B13" s="306"/>
      <c r="C13" s="306"/>
      <c r="D13" s="306"/>
      <c r="E13" s="306"/>
      <c r="F13" s="306"/>
      <c r="G13" s="306"/>
      <c r="H13" s="306"/>
      <c r="I13" s="306"/>
      <c r="J13" s="306"/>
      <c r="K13" s="306"/>
      <c r="L13" s="306"/>
      <c r="M13" s="308">
        <f t="shared" si="1"/>
        <v>0</v>
      </c>
      <c r="N13" s="225">
        <f t="shared" si="0"/>
        <v>0</v>
      </c>
    </row>
    <row r="14" spans="1:14" ht="12.9" customHeight="1">
      <c r="A14" s="181" t="s">
        <v>1142</v>
      </c>
      <c r="B14" s="306"/>
      <c r="C14" s="306"/>
      <c r="D14" s="306"/>
      <c r="E14" s="306"/>
      <c r="F14" s="306"/>
      <c r="G14" s="306"/>
      <c r="H14" s="306"/>
      <c r="I14" s="306"/>
      <c r="J14" s="306"/>
      <c r="K14" s="306"/>
      <c r="L14" s="306"/>
      <c r="M14" s="308">
        <f t="shared" si="1"/>
        <v>0</v>
      </c>
      <c r="N14" s="225">
        <f t="shared" si="0"/>
        <v>0</v>
      </c>
    </row>
    <row r="15" spans="1:14" ht="12.9" customHeight="1">
      <c r="A15" s="181" t="s">
        <v>1143</v>
      </c>
      <c r="B15" s="306"/>
      <c r="C15" s="306"/>
      <c r="D15" s="306"/>
      <c r="E15" s="306"/>
      <c r="F15" s="306"/>
      <c r="G15" s="306"/>
      <c r="H15" s="306"/>
      <c r="I15" s="306"/>
      <c r="J15" s="306"/>
      <c r="K15" s="306"/>
      <c r="L15" s="306"/>
      <c r="M15" s="308">
        <f t="shared" si="1"/>
        <v>0</v>
      </c>
      <c r="N15" s="225">
        <f t="shared" si="0"/>
        <v>0</v>
      </c>
    </row>
    <row r="16" spans="1:14" ht="12.9" customHeight="1">
      <c r="A16" s="181" t="s">
        <v>1144</v>
      </c>
      <c r="B16" s="306"/>
      <c r="C16" s="306"/>
      <c r="D16" s="306"/>
      <c r="E16" s="306"/>
      <c r="F16" s="306"/>
      <c r="G16" s="306"/>
      <c r="H16" s="306"/>
      <c r="I16" s="306"/>
      <c r="J16" s="306"/>
      <c r="K16" s="306"/>
      <c r="L16" s="306"/>
      <c r="M16" s="308">
        <f t="shared" si="1"/>
        <v>0</v>
      </c>
      <c r="N16" s="225">
        <f t="shared" si="0"/>
        <v>0</v>
      </c>
    </row>
    <row r="17" spans="1:14" ht="12.9" customHeight="1">
      <c r="A17" s="181" t="s">
        <v>1145</v>
      </c>
      <c r="B17" s="306"/>
      <c r="C17" s="306"/>
      <c r="D17" s="306"/>
      <c r="E17" s="306"/>
      <c r="F17" s="306"/>
      <c r="G17" s="306"/>
      <c r="H17" s="306"/>
      <c r="I17" s="306"/>
      <c r="J17" s="306"/>
      <c r="K17" s="306"/>
      <c r="L17" s="306"/>
      <c r="M17" s="308">
        <f t="shared" si="1"/>
        <v>0</v>
      </c>
      <c r="N17" s="225">
        <f t="shared" si="0"/>
        <v>0</v>
      </c>
    </row>
    <row r="18" spans="1:14" ht="12.9" customHeight="1">
      <c r="A18" s="181" t="s">
        <v>1146</v>
      </c>
      <c r="B18" s="306"/>
      <c r="C18" s="306"/>
      <c r="D18" s="306"/>
      <c r="E18" s="306"/>
      <c r="F18" s="306"/>
      <c r="G18" s="306"/>
      <c r="H18" s="306"/>
      <c r="I18" s="306"/>
      <c r="J18" s="306"/>
      <c r="K18" s="306"/>
      <c r="L18" s="306"/>
      <c r="M18" s="308">
        <f t="shared" si="1"/>
        <v>0</v>
      </c>
      <c r="N18" s="225">
        <f t="shared" si="0"/>
        <v>0</v>
      </c>
    </row>
    <row r="19" spans="1:14" ht="12.9" customHeight="1">
      <c r="A19" s="181" t="s">
        <v>1194</v>
      </c>
      <c r="B19" s="306"/>
      <c r="C19" s="306"/>
      <c r="D19" s="306"/>
      <c r="E19" s="306"/>
      <c r="F19" s="306"/>
      <c r="G19" s="306"/>
      <c r="H19" s="306"/>
      <c r="I19" s="306"/>
      <c r="J19" s="306"/>
      <c r="K19" s="306"/>
      <c r="L19" s="306"/>
      <c r="M19" s="308">
        <f t="shared" si="1"/>
        <v>0</v>
      </c>
      <c r="N19" s="225">
        <f t="shared" si="0"/>
        <v>0</v>
      </c>
    </row>
    <row r="20" spans="1:14" ht="12.9" customHeight="1">
      <c r="A20" s="181" t="s">
        <v>1195</v>
      </c>
      <c r="B20" s="306"/>
      <c r="C20" s="306"/>
      <c r="D20" s="306"/>
      <c r="E20" s="306"/>
      <c r="F20" s="306"/>
      <c r="G20" s="306"/>
      <c r="H20" s="306"/>
      <c r="I20" s="306"/>
      <c r="J20" s="306"/>
      <c r="K20" s="306"/>
      <c r="L20" s="306"/>
      <c r="M20" s="308">
        <f t="shared" si="1"/>
        <v>0</v>
      </c>
      <c r="N20" s="225">
        <f t="shared" si="0"/>
        <v>0</v>
      </c>
    </row>
    <row r="21" spans="1:14" ht="12.9" customHeight="1">
      <c r="A21" s="181" t="s">
        <v>1149</v>
      </c>
      <c r="B21" s="306"/>
      <c r="C21" s="306"/>
      <c r="D21" s="306"/>
      <c r="E21" s="306"/>
      <c r="F21" s="306"/>
      <c r="G21" s="306"/>
      <c r="H21" s="306"/>
      <c r="I21" s="306"/>
      <c r="J21" s="306"/>
      <c r="K21" s="306"/>
      <c r="L21" s="306"/>
      <c r="M21" s="308">
        <f t="shared" si="1"/>
        <v>0</v>
      </c>
      <c r="N21" s="225">
        <f t="shared" si="0"/>
        <v>0</v>
      </c>
    </row>
    <row r="22" spans="1:14" ht="12.9" customHeight="1">
      <c r="A22" s="181" t="s">
        <v>1150</v>
      </c>
      <c r="B22" s="306"/>
      <c r="C22" s="306"/>
      <c r="D22" s="306"/>
      <c r="E22" s="306"/>
      <c r="F22" s="306"/>
      <c r="G22" s="306"/>
      <c r="H22" s="306"/>
      <c r="I22" s="306"/>
      <c r="J22" s="306"/>
      <c r="K22" s="306"/>
      <c r="L22" s="306"/>
      <c r="M22" s="308">
        <f t="shared" si="1"/>
        <v>0</v>
      </c>
      <c r="N22" s="225">
        <f t="shared" si="0"/>
        <v>0</v>
      </c>
    </row>
    <row r="23" spans="1:14" ht="12.9" customHeight="1">
      <c r="A23" s="181" t="s">
        <v>1151</v>
      </c>
      <c r="B23" s="306"/>
      <c r="C23" s="306"/>
      <c r="D23" s="306"/>
      <c r="E23" s="306"/>
      <c r="F23" s="306"/>
      <c r="G23" s="306"/>
      <c r="H23" s="306"/>
      <c r="I23" s="306"/>
      <c r="J23" s="306"/>
      <c r="K23" s="306"/>
      <c r="L23" s="306"/>
      <c r="M23" s="308">
        <f t="shared" si="1"/>
        <v>0</v>
      </c>
      <c r="N23" s="225">
        <f t="shared" si="0"/>
        <v>0</v>
      </c>
    </row>
    <row r="24" spans="1:14" ht="12.9" customHeight="1">
      <c r="A24" s="181" t="s">
        <v>1152</v>
      </c>
      <c r="B24" s="306"/>
      <c r="C24" s="306"/>
      <c r="D24" s="306"/>
      <c r="E24" s="306"/>
      <c r="F24" s="306"/>
      <c r="G24" s="306"/>
      <c r="H24" s="306"/>
      <c r="I24" s="306"/>
      <c r="J24" s="306"/>
      <c r="K24" s="306"/>
      <c r="L24" s="306"/>
      <c r="M24" s="308">
        <f t="shared" si="1"/>
        <v>0</v>
      </c>
      <c r="N24" s="225">
        <f t="shared" si="0"/>
        <v>0</v>
      </c>
    </row>
    <row r="25" spans="1:14" ht="12.9" customHeight="1">
      <c r="A25" s="198" t="s">
        <v>1153</v>
      </c>
      <c r="B25" s="312">
        <f>'SCS Other Services'!B35</f>
        <v>0</v>
      </c>
      <c r="C25" s="312">
        <f>'SCS Other Services'!C35</f>
        <v>0</v>
      </c>
      <c r="D25" s="312">
        <f>'SCS Other Services'!D35</f>
        <v>0</v>
      </c>
      <c r="E25" s="312">
        <f>'SCS Other Services'!E35</f>
        <v>0</v>
      </c>
      <c r="F25" s="312">
        <f>'SCS Other Services'!F35</f>
        <v>0</v>
      </c>
      <c r="G25" s="312">
        <f>'SCS Other Services'!G35</f>
        <v>0</v>
      </c>
      <c r="H25" s="312">
        <f>'SCS Other Services'!H35</f>
        <v>0</v>
      </c>
      <c r="I25" s="312">
        <f>'SCS Other Services'!I35</f>
        <v>0</v>
      </c>
      <c r="J25" s="312">
        <f>'SCS Other Services'!J35</f>
        <v>0</v>
      </c>
      <c r="K25" s="312">
        <f>'SCS Other Services'!K35</f>
        <v>0</v>
      </c>
      <c r="L25" s="312">
        <f>'SCS Other Services'!L35</f>
        <v>0</v>
      </c>
      <c r="M25" s="308">
        <f t="shared" si="1"/>
        <v>0</v>
      </c>
      <c r="N25" s="225">
        <f t="shared" si="0"/>
        <v>0</v>
      </c>
    </row>
    <row r="26" spans="1:14" ht="12.9" customHeight="1">
      <c r="A26" s="199" t="s">
        <v>1154</v>
      </c>
      <c r="B26" s="312">
        <f>'SCS Other Services'!B17</f>
        <v>0</v>
      </c>
      <c r="C26" s="312">
        <f>'SCS Other Services'!C17</f>
        <v>0</v>
      </c>
      <c r="D26" s="312">
        <f>'SCS Other Services'!D17</f>
        <v>0</v>
      </c>
      <c r="E26" s="312">
        <f>'SCS Other Services'!E17</f>
        <v>0</v>
      </c>
      <c r="F26" s="312">
        <f>'SCS Other Services'!F17</f>
        <v>0</v>
      </c>
      <c r="G26" s="312">
        <f>'SCS Other Services'!G17</f>
        <v>0</v>
      </c>
      <c r="H26" s="312">
        <f>'SCS Other Services'!H17</f>
        <v>0</v>
      </c>
      <c r="I26" s="312">
        <f>'SCS Other Services'!I17</f>
        <v>0</v>
      </c>
      <c r="J26" s="312">
        <f>'SCS Other Services'!J17</f>
        <v>0</v>
      </c>
      <c r="K26" s="312">
        <f>'SCS Other Services'!K17</f>
        <v>0</v>
      </c>
      <c r="L26" s="312">
        <f>'SCS Other Services'!L17</f>
        <v>0</v>
      </c>
      <c r="M26" s="308">
        <f t="shared" si="1"/>
        <v>0</v>
      </c>
      <c r="N26" s="225">
        <f t="shared" si="0"/>
        <v>0</v>
      </c>
    </row>
    <row r="27" spans="1:14" ht="12.9" customHeight="1">
      <c r="A27" s="211" t="s">
        <v>1291</v>
      </c>
      <c r="B27" s="323"/>
      <c r="C27" s="323"/>
      <c r="D27" s="323"/>
      <c r="E27" s="323"/>
      <c r="F27" s="323"/>
      <c r="G27" s="323"/>
      <c r="H27" s="323"/>
      <c r="I27" s="323"/>
      <c r="J27" s="323"/>
      <c r="K27" s="323"/>
      <c r="L27" s="324"/>
      <c r="M27" s="311"/>
      <c r="N27" s="225">
        <f t="shared" si="0"/>
        <v>0</v>
      </c>
    </row>
    <row r="28" spans="1:14" ht="12.9" customHeight="1">
      <c r="A28" s="211" t="s">
        <v>1156</v>
      </c>
      <c r="B28" s="323"/>
      <c r="C28" s="323"/>
      <c r="D28" s="323"/>
      <c r="E28" s="323"/>
      <c r="F28" s="323"/>
      <c r="G28" s="323"/>
      <c r="H28" s="323"/>
      <c r="I28" s="323"/>
      <c r="J28" s="323"/>
      <c r="K28" s="323"/>
      <c r="L28" s="324"/>
      <c r="M28" s="311"/>
      <c r="N28" s="225">
        <f t="shared" si="0"/>
        <v>0</v>
      </c>
    </row>
    <row r="29" spans="1:14" ht="12.9" customHeight="1">
      <c r="A29" s="181"/>
      <c r="B29" s="323"/>
      <c r="C29" s="323"/>
      <c r="D29" s="323"/>
      <c r="E29" s="323"/>
      <c r="F29" s="323"/>
      <c r="G29" s="323"/>
      <c r="H29" s="323"/>
      <c r="I29" s="323"/>
      <c r="J29" s="323"/>
      <c r="K29" s="323"/>
      <c r="L29" s="324"/>
      <c r="M29" s="311"/>
      <c r="N29" s="225">
        <f t="shared" si="0"/>
        <v>0</v>
      </c>
    </row>
    <row r="30" spans="1:14" ht="12.9" customHeight="1">
      <c r="A30" s="181"/>
      <c r="B30" s="323"/>
      <c r="C30" s="323"/>
      <c r="D30" s="323"/>
      <c r="E30" s="323"/>
      <c r="F30" s="323"/>
      <c r="G30" s="323"/>
      <c r="H30" s="323"/>
      <c r="I30" s="323"/>
      <c r="J30" s="323"/>
      <c r="K30" s="323"/>
      <c r="L30" s="324"/>
      <c r="M30" s="311"/>
      <c r="N30" s="225">
        <f t="shared" si="0"/>
        <v>0</v>
      </c>
    </row>
    <row r="31" spans="1:14" ht="12.9" customHeight="1">
      <c r="A31" s="181"/>
      <c r="B31" s="323"/>
      <c r="C31" s="323"/>
      <c r="D31" s="323"/>
      <c r="E31" s="323"/>
      <c r="F31" s="323"/>
      <c r="G31" s="323"/>
      <c r="H31" s="323"/>
      <c r="I31" s="323"/>
      <c r="J31" s="323"/>
      <c r="K31" s="323"/>
      <c r="L31" s="324"/>
      <c r="M31" s="311"/>
      <c r="N31" s="225">
        <f t="shared" si="0"/>
        <v>0</v>
      </c>
    </row>
    <row r="32" spans="1:14" ht="12.9" customHeight="1">
      <c r="A32" s="181"/>
      <c r="B32" s="323"/>
      <c r="C32" s="323"/>
      <c r="D32" s="323"/>
      <c r="E32" s="323"/>
      <c r="F32" s="323"/>
      <c r="G32" s="323"/>
      <c r="H32" s="323"/>
      <c r="I32" s="323"/>
      <c r="J32" s="323"/>
      <c r="K32" s="323"/>
      <c r="L32" s="324"/>
      <c r="M32" s="311"/>
      <c r="N32" s="225">
        <f t="shared" si="0"/>
        <v>0</v>
      </c>
    </row>
    <row r="33" spans="1:22" ht="12.9" customHeight="1">
      <c r="A33" s="181"/>
      <c r="B33" s="323"/>
      <c r="C33" s="323"/>
      <c r="D33" s="323"/>
      <c r="E33" s="323"/>
      <c r="F33" s="323"/>
      <c r="G33" s="323"/>
      <c r="H33" s="323"/>
      <c r="I33" s="323"/>
      <c r="J33" s="323"/>
      <c r="K33" s="323"/>
      <c r="L33" s="324"/>
      <c r="M33" s="311"/>
      <c r="N33" s="225">
        <f t="shared" si="0"/>
        <v>0</v>
      </c>
      <c r="O33" s="397"/>
      <c r="P33" s="397"/>
      <c r="Q33" s="397"/>
      <c r="R33" s="397"/>
      <c r="S33" s="397"/>
      <c r="T33" s="397"/>
      <c r="U33" s="397"/>
      <c r="V33" s="397"/>
    </row>
    <row r="34" spans="1:22" s="15" customFormat="1" ht="12.9" customHeight="1" thickBot="1">
      <c r="A34" s="192"/>
      <c r="B34" s="314"/>
      <c r="C34" s="314"/>
      <c r="D34" s="314"/>
      <c r="E34" s="314"/>
      <c r="F34" s="314"/>
      <c r="G34" s="314"/>
      <c r="H34" s="314"/>
      <c r="I34" s="314"/>
      <c r="J34" s="314"/>
      <c r="K34" s="314"/>
      <c r="L34" s="314"/>
      <c r="M34" s="315"/>
      <c r="N34" s="225">
        <f t="shared" si="0"/>
        <v>0</v>
      </c>
    </row>
    <row r="35" spans="1:22" s="15" customFormat="1" ht="12.9" customHeight="1" thickTop="1" thickBot="1">
      <c r="A35" s="193" t="s">
        <v>210</v>
      </c>
      <c r="B35" s="316">
        <f>SUM(B10:B34)</f>
        <v>0</v>
      </c>
      <c r="C35" s="316">
        <f t="shared" ref="C35:L35" si="2">SUM(C10:C34)</f>
        <v>0</v>
      </c>
      <c r="D35" s="316">
        <f t="shared" si="2"/>
        <v>0</v>
      </c>
      <c r="E35" s="316">
        <f t="shared" si="2"/>
        <v>0</v>
      </c>
      <c r="F35" s="316">
        <f t="shared" si="2"/>
        <v>0</v>
      </c>
      <c r="G35" s="316">
        <f t="shared" si="2"/>
        <v>0</v>
      </c>
      <c r="H35" s="316">
        <f t="shared" si="2"/>
        <v>0</v>
      </c>
      <c r="I35" s="316">
        <f t="shared" si="2"/>
        <v>0</v>
      </c>
      <c r="J35" s="316">
        <f t="shared" si="2"/>
        <v>0</v>
      </c>
      <c r="K35" s="316">
        <f t="shared" si="2"/>
        <v>0</v>
      </c>
      <c r="L35" s="316">
        <f t="shared" si="2"/>
        <v>0</v>
      </c>
      <c r="M35" s="317">
        <f>G35+D35+E35+F35+C35+H35+I35+J35+K35+L35-I35-K35</f>
        <v>0</v>
      </c>
      <c r="N35" s="225">
        <f t="shared" si="0"/>
        <v>0</v>
      </c>
    </row>
    <row r="36" spans="1:22" s="15" customFormat="1" ht="12.9" customHeight="1">
      <c r="A36" s="17"/>
      <c r="B36" s="171"/>
      <c r="C36" s="171"/>
      <c r="D36" s="171"/>
      <c r="E36" s="171"/>
      <c r="F36" s="171"/>
      <c r="G36" s="171"/>
      <c r="H36" s="171"/>
      <c r="I36" s="171"/>
      <c r="J36" s="171"/>
      <c r="K36" s="171"/>
      <c r="L36" s="171"/>
      <c r="M36" s="226"/>
      <c r="N36" s="226" t="str">
        <f>IF(ISERROR(MATCH("x",N10:N35,0)),"","x")</f>
        <v/>
      </c>
    </row>
    <row r="37" spans="1:22" s="15" customFormat="1" ht="12.9" customHeight="1">
      <c r="B37" s="225"/>
      <c r="C37" s="225"/>
      <c r="D37" s="225"/>
      <c r="E37" s="225"/>
      <c r="F37" s="225"/>
      <c r="G37" s="225"/>
      <c r="H37" s="225"/>
      <c r="I37" s="225"/>
      <c r="J37" s="225"/>
      <c r="K37" s="225"/>
      <c r="L37" s="225"/>
      <c r="N37" s="226" t="str">
        <f>IF(ISERROR(MATCH("x",B37:L37,0)),"","x")</f>
        <v/>
      </c>
    </row>
    <row r="38" spans="1:22" ht="12.9" customHeight="1">
      <c r="A38" s="397"/>
      <c r="B38" s="12"/>
      <c r="C38" s="12"/>
      <c r="D38" s="12"/>
      <c r="E38" s="12"/>
      <c r="F38" s="12"/>
      <c r="G38" s="12"/>
      <c r="H38" s="12"/>
      <c r="I38" s="12"/>
      <c r="J38" s="12"/>
      <c r="K38" s="12"/>
      <c r="L38" s="12"/>
      <c r="M38" s="62"/>
      <c r="O38" s="397"/>
      <c r="P38" s="397"/>
      <c r="Q38" s="397"/>
      <c r="R38" s="397"/>
      <c r="S38" s="397"/>
      <c r="T38" s="397"/>
      <c r="U38" s="397"/>
      <c r="V38" s="397"/>
    </row>
    <row r="39" spans="1:22" ht="12.9" customHeight="1">
      <c r="A39" s="397"/>
      <c r="B39" s="12"/>
      <c r="C39" s="12"/>
      <c r="D39" s="12"/>
      <c r="E39" s="12"/>
      <c r="F39" s="12"/>
      <c r="G39" s="12"/>
      <c r="H39" s="12"/>
      <c r="I39" s="12"/>
      <c r="J39" s="12"/>
      <c r="K39" s="12"/>
      <c r="L39" s="12"/>
      <c r="M39" s="62"/>
      <c r="O39" s="397"/>
      <c r="P39" s="397"/>
      <c r="Q39" s="397"/>
      <c r="R39" s="397"/>
      <c r="S39" s="397"/>
      <c r="T39" s="397"/>
      <c r="U39" s="397"/>
      <c r="V39" s="397"/>
    </row>
    <row r="40" spans="1:22" ht="12.9" customHeight="1">
      <c r="A40" s="397"/>
      <c r="B40" s="12"/>
      <c r="C40" s="12"/>
      <c r="D40" s="12"/>
      <c r="E40" s="12"/>
      <c r="F40" s="12"/>
      <c r="G40" s="12"/>
      <c r="H40" s="12"/>
      <c r="I40" s="12"/>
      <c r="J40" s="12"/>
      <c r="K40" s="12"/>
      <c r="L40" s="12"/>
      <c r="M40" s="62"/>
      <c r="O40" s="397"/>
      <c r="P40" s="397"/>
      <c r="Q40" s="397"/>
      <c r="R40" s="397"/>
      <c r="S40" s="397"/>
      <c r="T40" s="397"/>
      <c r="U40" s="397"/>
      <c r="V40" s="397"/>
    </row>
    <row r="41" spans="1:22" ht="12.9" customHeight="1">
      <c r="A41" s="397"/>
      <c r="B41" s="12"/>
      <c r="C41" s="12"/>
      <c r="D41" s="12"/>
      <c r="E41" s="12"/>
      <c r="F41" s="12"/>
      <c r="G41" s="12"/>
      <c r="H41" s="12"/>
      <c r="I41" s="12"/>
      <c r="J41" s="12"/>
      <c r="K41" s="12"/>
      <c r="L41" s="12"/>
      <c r="M41" s="62"/>
      <c r="O41" s="397"/>
      <c r="P41" s="397"/>
      <c r="Q41" s="397"/>
      <c r="R41" s="397"/>
      <c r="S41" s="397"/>
      <c r="T41" s="397"/>
      <c r="U41" s="397"/>
      <c r="V41" s="397"/>
    </row>
    <row r="42" spans="1:22" ht="12.9" customHeight="1">
      <c r="A42" s="397"/>
      <c r="B42" s="12"/>
      <c r="C42" s="12"/>
      <c r="D42" s="12"/>
      <c r="E42" s="12"/>
      <c r="F42" s="12"/>
      <c r="G42" s="12"/>
      <c r="H42" s="12"/>
      <c r="I42" s="12"/>
      <c r="J42" s="12"/>
      <c r="K42" s="12"/>
      <c r="L42" s="12"/>
      <c r="M42" s="168"/>
      <c r="O42" s="397"/>
      <c r="P42" s="397"/>
      <c r="Q42" s="397"/>
      <c r="R42" s="397"/>
      <c r="S42" s="397"/>
      <c r="T42" s="397"/>
      <c r="U42" s="397"/>
      <c r="V42" s="397"/>
    </row>
    <row r="43" spans="1:22" s="15" customFormat="1" ht="12.9" customHeight="1">
      <c r="A43" s="15" t="s">
        <v>1161</v>
      </c>
      <c r="B43" s="147" t="e">
        <f>(F6-C35)</f>
        <v>#N/A</v>
      </c>
      <c r="C43" s="610" t="e">
        <f>IF(F6-C35&lt;0,"Not Ok - You are over budget on expenditures.","")</f>
        <v>#N/A</v>
      </c>
      <c r="D43" s="611"/>
      <c r="E43" s="611"/>
      <c r="F43" s="574"/>
      <c r="M43" s="368" t="str">
        <f>IF(ISNUMBER(SEARCH("Not Ok",C43)), "X", "")</f>
        <v/>
      </c>
      <c r="N43" s="166"/>
      <c r="O43" s="166"/>
    </row>
    <row r="44" spans="1:22" s="15" customFormat="1" ht="12.9" customHeight="1">
      <c r="B44" s="159"/>
      <c r="C44" s="601"/>
      <c r="D44" s="601"/>
      <c r="E44" s="601"/>
      <c r="F44" s="601"/>
      <c r="G44" s="601"/>
      <c r="H44" s="601"/>
      <c r="I44" s="601"/>
      <c r="J44" s="601"/>
      <c r="K44" s="601"/>
      <c r="L44" s="601"/>
      <c r="M44" s="368"/>
      <c r="N44" s="17"/>
      <c r="O44" s="17"/>
      <c r="P44" s="17"/>
      <c r="Q44" s="17"/>
      <c r="R44" s="17"/>
      <c r="S44" s="17"/>
      <c r="T44" s="17"/>
      <c r="U44" s="17"/>
      <c r="V44" s="17"/>
    </row>
    <row r="45" spans="1:22" s="15" customFormat="1" ht="12.9" customHeight="1">
      <c r="B45" s="159"/>
      <c r="C45" s="601"/>
      <c r="D45" s="602"/>
      <c r="E45" s="602"/>
      <c r="F45" s="602"/>
      <c r="G45" s="602"/>
      <c r="H45" s="602"/>
      <c r="I45" s="602"/>
      <c r="M45" s="368"/>
    </row>
    <row r="46" spans="1:22" s="15" customFormat="1" ht="12.9" customHeight="1">
      <c r="B46" s="159"/>
      <c r="C46" s="601"/>
      <c r="D46" s="601"/>
      <c r="E46" s="601"/>
      <c r="F46" s="601"/>
      <c r="G46" s="601"/>
      <c r="H46" s="601"/>
      <c r="I46" s="601"/>
      <c r="J46" s="601"/>
      <c r="K46" s="601"/>
      <c r="L46" s="601"/>
      <c r="M46" s="368"/>
      <c r="N46" s="17"/>
      <c r="O46" s="17"/>
      <c r="P46" s="17"/>
      <c r="Q46" s="17"/>
      <c r="R46" s="17"/>
      <c r="S46" s="17"/>
      <c r="T46" s="17"/>
      <c r="U46" s="17"/>
      <c r="V46" s="17"/>
    </row>
    <row r="47" spans="1:22" s="15" customFormat="1" ht="12.9" customHeight="1">
      <c r="A47" s="15" t="s">
        <v>1165</v>
      </c>
      <c r="B47" s="147">
        <f>SUM(D35:E35)</f>
        <v>0</v>
      </c>
      <c r="C47" s="601" t="str">
        <f>IF(G5&lt;&gt;"x","",IF(B47&gt;=SUM(C35/9),"Ok - Minimum Match Met","Not Ok - Your Cash Match and/or In-Kind Match does not meet the Mimimum Match requirement."))</f>
        <v/>
      </c>
      <c r="D47" s="602"/>
      <c r="E47" s="602"/>
      <c r="F47" s="602"/>
      <c r="G47" s="602"/>
      <c r="H47" s="602"/>
      <c r="I47" s="602"/>
      <c r="M47" s="368" t="str">
        <f t="shared" ref="M47:M53" si="3">IF(ISNUMBER(SEARCH("Not Ok",C47)), "X", "")</f>
        <v/>
      </c>
    </row>
    <row r="48" spans="1:22" s="15" customFormat="1" ht="12.9" customHeight="1">
      <c r="A48" s="15" t="s">
        <v>1166</v>
      </c>
      <c r="B48" s="217">
        <f>(ROUNDUP(C35/9,0))</f>
        <v>0</v>
      </c>
      <c r="C48" s="15" t="s">
        <v>1167</v>
      </c>
      <c r="M48" s="368" t="str">
        <f t="shared" si="3"/>
        <v/>
      </c>
    </row>
    <row r="49" spans="1:18" s="15" customFormat="1" ht="12.9" customHeight="1">
      <c r="B49" s="147"/>
      <c r="C49" s="600"/>
      <c r="D49" s="600"/>
      <c r="E49" s="600"/>
      <c r="F49" s="600"/>
      <c r="G49" s="600"/>
      <c r="H49" s="600"/>
      <c r="I49" s="600"/>
      <c r="M49" s="368" t="str">
        <f t="shared" si="3"/>
        <v/>
      </c>
    </row>
    <row r="50" spans="1:18" s="15" customFormat="1" ht="12.9" customHeight="1">
      <c r="A50" s="15" t="str">
        <f>IF(B50="X","Program Income Carryover","")</f>
        <v/>
      </c>
      <c r="B50" s="227" t="str">
        <f>IF(AND(C35&gt;0,K35&gt;L35),"X","")</f>
        <v/>
      </c>
      <c r="C50" s="600" t="str">
        <f>IF(B50="x","Not Ok - You cannot claim against this contract until all prior year program income has been expended.","")</f>
        <v/>
      </c>
      <c r="D50" s="574"/>
      <c r="E50" s="574"/>
      <c r="F50" s="574"/>
      <c r="G50" s="574"/>
      <c r="H50" s="574"/>
      <c r="I50" s="574"/>
      <c r="J50" s="574"/>
      <c r="K50" s="574"/>
      <c r="M50" s="368" t="str">
        <f t="shared" si="3"/>
        <v/>
      </c>
      <c r="N50" s="146"/>
      <c r="O50" s="146"/>
      <c r="P50" s="146"/>
      <c r="Q50" s="146"/>
      <c r="R50" s="146"/>
    </row>
    <row r="51" spans="1:18" s="15" customFormat="1" ht="12.9" customHeight="1">
      <c r="B51" s="227"/>
      <c r="C51" s="600"/>
      <c r="D51" s="574"/>
      <c r="E51" s="574"/>
      <c r="F51" s="574"/>
      <c r="G51" s="574"/>
      <c r="H51" s="574"/>
      <c r="I51" s="574"/>
      <c r="M51" s="368" t="str">
        <f t="shared" si="3"/>
        <v/>
      </c>
    </row>
    <row r="52" spans="1:18" s="15" customFormat="1" ht="18">
      <c r="A52" s="15" t="str">
        <f>IF(B52="X","Current Year Program Income","")</f>
        <v/>
      </c>
      <c r="B52" s="227" t="str">
        <f>IF(G5&lt;&gt;"x","",IF(J35&gt;I35,"X",""))</f>
        <v/>
      </c>
      <c r="C52" s="600" t="str">
        <f>IF(B52="x","Not Ok - You cannot claim more in current year program income expended than has been received.","")</f>
        <v/>
      </c>
      <c r="D52" s="574"/>
      <c r="E52" s="574"/>
      <c r="F52" s="574"/>
      <c r="G52" s="574"/>
      <c r="H52" s="574"/>
      <c r="I52" s="574"/>
      <c r="M52" s="368" t="str">
        <f t="shared" si="3"/>
        <v/>
      </c>
      <c r="N52" s="146"/>
    </row>
    <row r="53" spans="1:18" s="15" customFormat="1" ht="18">
      <c r="M53" s="369" t="str">
        <f t="shared" si="3"/>
        <v/>
      </c>
    </row>
    <row r="54" spans="1:18" ht="12.9" customHeight="1">
      <c r="A54" s="15"/>
      <c r="B54" s="15"/>
      <c r="C54" s="15"/>
      <c r="D54" s="15"/>
      <c r="E54" s="15"/>
      <c r="F54" s="15"/>
      <c r="G54" s="15"/>
      <c r="H54" s="15"/>
      <c r="I54" s="15"/>
      <c r="J54" s="15"/>
      <c r="K54" s="15"/>
      <c r="L54" s="15"/>
      <c r="O54" s="397"/>
      <c r="P54" s="397"/>
      <c r="Q54" s="397"/>
      <c r="R54" s="397"/>
    </row>
    <row r="55" spans="1:18" ht="12.9" customHeight="1">
      <c r="A55" s="15"/>
      <c r="B55" s="15"/>
      <c r="C55" s="15"/>
      <c r="D55" s="15"/>
      <c r="E55" s="15"/>
      <c r="F55" s="15"/>
      <c r="G55" s="15"/>
      <c r="H55" s="15"/>
      <c r="I55" s="15"/>
      <c r="J55" s="15"/>
      <c r="K55" s="15"/>
      <c r="L55" s="15"/>
      <c r="O55" s="397"/>
      <c r="P55" s="397"/>
      <c r="Q55" s="397"/>
      <c r="R55" s="397"/>
    </row>
    <row r="56" spans="1:18" ht="12.9" customHeight="1">
      <c r="A56" s="397"/>
      <c r="B56" s="397"/>
      <c r="C56" s="397"/>
      <c r="D56" s="397"/>
      <c r="E56" s="397"/>
      <c r="F56" s="397"/>
      <c r="G56" s="397"/>
      <c r="H56" s="397"/>
      <c r="I56" s="397"/>
      <c r="J56" s="397"/>
      <c r="K56" s="397"/>
      <c r="L56" s="397"/>
      <c r="O56" s="397"/>
      <c r="P56" s="397"/>
      <c r="Q56" s="397"/>
      <c r="R56" s="397"/>
    </row>
  </sheetData>
  <sheetProtection password="C3C4" sheet="1" objects="1" scenarios="1"/>
  <customSheetViews>
    <customSheetView guid="{89953FCB-456A-4C2D-8912-B30825F750D3}" fitToPage="1" topLeftCell="A10">
      <selection activeCell="D21" sqref="D21:H22"/>
      <pageMargins left="0" right="0" top="0" bottom="0" header="0" footer="0"/>
      <printOptions horizontalCentered="1"/>
      <pageSetup scale="80" orientation="landscape" horizontalDpi="300" verticalDpi="300" r:id="rId1"/>
      <headerFooter alignWithMargins="0">
        <oddFooter>&amp;R&amp;8&amp;Z&amp;F</oddFooter>
      </headerFooter>
    </customSheetView>
  </customSheetViews>
  <mergeCells count="19">
    <mergeCell ref="C51:I51"/>
    <mergeCell ref="C47:I47"/>
    <mergeCell ref="C46:L46"/>
    <mergeCell ref="C52:I52"/>
    <mergeCell ref="C49:I49"/>
    <mergeCell ref="C50:K50"/>
    <mergeCell ref="A1:C1"/>
    <mergeCell ref="A2:B2"/>
    <mergeCell ref="C43:F43"/>
    <mergeCell ref="C44:L44"/>
    <mergeCell ref="C45:I45"/>
    <mergeCell ref="A7:L7"/>
    <mergeCell ref="K3:L3"/>
    <mergeCell ref="B8:J8"/>
    <mergeCell ref="K1:L1"/>
    <mergeCell ref="K2:L2"/>
    <mergeCell ref="E3:F3"/>
    <mergeCell ref="D4:F4"/>
    <mergeCell ref="E5:F5"/>
  </mergeCells>
  <phoneticPr fontId="4" type="noConversion"/>
  <conditionalFormatting sqref="G3">
    <cfRule type="containsText" dxfId="512" priority="117" stopIfTrue="1" operator="containsText" text="Not Ok">
      <formula>NOT(ISERROR(SEARCH("Not Ok",G3)))</formula>
    </cfRule>
    <cfRule type="containsText" dxfId="511" priority="118" stopIfTrue="1" operator="containsText" text="Not Ok">
      <formula>NOT(ISERROR(SEARCH("Not Ok",G3)))</formula>
    </cfRule>
  </conditionalFormatting>
  <conditionalFormatting sqref="G3">
    <cfRule type="containsText" dxfId="510" priority="116" stopIfTrue="1" operator="containsText" text="Not Ok">
      <formula>NOT(ISERROR(SEARCH("Not Ok",G3)))</formula>
    </cfRule>
  </conditionalFormatting>
  <conditionalFormatting sqref="B38:B41">
    <cfRule type="cellIs" dxfId="509" priority="91" stopIfTrue="1" operator="equal">
      <formula>"You cannot claim against this contract until all prior year program income has been expended."</formula>
    </cfRule>
  </conditionalFormatting>
  <conditionalFormatting sqref="M42">
    <cfRule type="cellIs" dxfId="508" priority="90" stopIfTrue="1" operator="equal">
      <formula>"You are over budget on expenditures."</formula>
    </cfRule>
  </conditionalFormatting>
  <conditionalFormatting sqref="M42">
    <cfRule type="containsText" dxfId="507" priority="89" operator="containsText" text="Not Ok">
      <formula>NOT(ISERROR(SEARCH("Not Ok",M42)))</formula>
    </cfRule>
  </conditionalFormatting>
  <conditionalFormatting sqref="O47:S47 O45:R46">
    <cfRule type="containsText" dxfId="506" priority="57" stopIfTrue="1" operator="containsText" text="Not Ok">
      <formula>NOT(ISERROR(SEARCH("Not Ok",O45)))</formula>
    </cfRule>
  </conditionalFormatting>
  <conditionalFormatting sqref="O43:V47">
    <cfRule type="containsText" dxfId="505" priority="55" operator="containsText" text="Not Ok">
      <formula>NOT(ISERROR(SEARCH("Not Ok",O43)))</formula>
    </cfRule>
  </conditionalFormatting>
  <conditionalFormatting sqref="N45:N47">
    <cfRule type="containsText" dxfId="504" priority="35" stopIfTrue="1" operator="containsText" text="Not Ok">
      <formula>NOT(ISERROR(SEARCH("Not Ok",N45)))</formula>
    </cfRule>
  </conditionalFormatting>
  <conditionalFormatting sqref="N43:N47">
    <cfRule type="containsText" dxfId="503" priority="34" operator="containsText" text="Not Ok">
      <formula>NOT(ISERROR(SEARCH("Not Ok",N43)))</formula>
    </cfRule>
  </conditionalFormatting>
  <conditionalFormatting sqref="M11:M26">
    <cfRule type="containsText" dxfId="502" priority="22" operator="containsText" text="#">
      <formula>NOT(ISERROR(SEARCH("#",M11)))</formula>
    </cfRule>
  </conditionalFormatting>
  <conditionalFormatting sqref="B36:L36">
    <cfRule type="containsText" dxfId="501" priority="21" operator="containsText" text="Error">
      <formula>NOT(ISERROR(SEARCH("Error",B36)))</formula>
    </cfRule>
  </conditionalFormatting>
  <conditionalFormatting sqref="A36">
    <cfRule type="containsText" dxfId="500" priority="20" operator="containsText" text="Enter">
      <formula>NOT(ISERROR(SEARCH("Enter",A36)))</formula>
    </cfRule>
  </conditionalFormatting>
  <conditionalFormatting sqref="B50">
    <cfRule type="cellIs" dxfId="499" priority="19" stopIfTrue="1" operator="equal">
      <formula>"You cannot claim against this contract until all prior year program income has been expended."</formula>
    </cfRule>
  </conditionalFormatting>
  <conditionalFormatting sqref="A1">
    <cfRule type="containsText" dxfId="498" priority="11" operator="containsText" text="End">
      <formula>NOT(ISERROR(SEARCH("End",A1)))</formula>
    </cfRule>
  </conditionalFormatting>
  <conditionalFormatting sqref="A1">
    <cfRule type="containsText" dxfId="497" priority="10" operator="containsText" text="End">
      <formula>NOT(ISERROR(SEARCH("End",A1)))</formula>
    </cfRule>
  </conditionalFormatting>
  <conditionalFormatting sqref="A2:B2">
    <cfRule type="containsText" dxfId="496" priority="9" operator="containsText" text="Please">
      <formula>NOT(ISERROR(SEARCH("Please",A2)))</formula>
    </cfRule>
  </conditionalFormatting>
  <conditionalFormatting sqref="C43:L49 C51:L52 C50:I50 L50">
    <cfRule type="containsText" dxfId="495" priority="5" operator="containsText" text="Not Ok">
      <formula>NOT(ISERROR(SEARCH("Not Ok",C43)))</formula>
    </cfRule>
  </conditionalFormatting>
  <conditionalFormatting sqref="B52">
    <cfRule type="cellIs" dxfId="494" priority="4" stopIfTrue="1" operator="equal">
      <formula>"You cannot claim against this contract until all prior year program income has been expended."</formula>
    </cfRule>
  </conditionalFormatting>
  <conditionalFormatting sqref="N1">
    <cfRule type="containsText" dxfId="493" priority="3" operator="containsText" text="End">
      <formula>NOT(ISERROR(SEARCH("End",N1)))</formula>
    </cfRule>
  </conditionalFormatting>
  <conditionalFormatting sqref="N1">
    <cfRule type="containsText" dxfId="492" priority="2" operator="containsText" text="End">
      <formula>NOT(ISERROR(SEARCH("End",N1)))</formula>
    </cfRule>
  </conditionalFormatting>
  <conditionalFormatting sqref="N2">
    <cfRule type="containsText" dxfId="491" priority="1" operator="containsText" text="Please">
      <formula>NOT(ISERROR(SEARCH("Please",N2)))</formula>
    </cfRule>
  </conditionalFormatting>
  <dataValidations count="2">
    <dataValidation type="whole" allowBlank="1" showInputMessage="1" showErrorMessage="1" errorTitle="Whole Number Validation" error="You must enter all dollars as whole numbers - no decimals (cents) or spaces." sqref="B25:L27" xr:uid="{377ABA78-E23F-4A61-98B0-9611BE97352D}">
      <formula1>0</formula1>
      <formula2>1000000</formula2>
    </dataValidation>
    <dataValidation type="whole" allowBlank="1" showInputMessage="1" showErrorMessage="1" errorTitle="Whole Number Validation" error="You must enter all dollars as whole numbers - no decimals (cents) or spaces." sqref="B11:L24" xr:uid="{A8091A48-AD74-46D4-AAC8-E6605E1177D2}">
      <formula1>-100000000</formula1>
      <formula2>100000000</formula2>
    </dataValidation>
  </dataValidations>
  <printOptions horizontalCentered="1"/>
  <pageMargins left="0.25" right="0.25" top="0.25" bottom="0.25" header="0" footer="0"/>
  <pageSetup scale="66" orientation="landscape" r:id="rId2"/>
  <headerFooter alignWithMargins="0">
    <oddFooter>&amp;R&amp;8&amp;Z&amp;F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R55"/>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3.2"/>
  <cols>
    <col min="1" max="1" width="31.6640625" customWidth="1"/>
    <col min="2" max="12" width="12.6640625" customWidth="1"/>
    <col min="13" max="13" width="15.6640625" customWidth="1"/>
  </cols>
  <sheetData>
    <row r="1" spans="1:13" s="13" customFormat="1" ht="15" customHeight="1">
      <c r="A1" s="15"/>
      <c r="B1" s="15"/>
      <c r="C1" s="15"/>
      <c r="D1" s="15"/>
      <c r="E1" s="15"/>
      <c r="F1" s="156"/>
      <c r="G1" s="15"/>
      <c r="H1" s="15"/>
      <c r="I1" s="15"/>
      <c r="J1" s="15"/>
      <c r="K1" s="604" t="s">
        <v>1287</v>
      </c>
      <c r="L1" s="572"/>
      <c r="M1" s="397"/>
    </row>
    <row r="2" spans="1:13" s="13" customFormat="1" ht="15" customHeight="1">
      <c r="A2" s="17"/>
      <c r="B2" s="15"/>
      <c r="C2" s="15"/>
      <c r="D2" s="15"/>
      <c r="E2" s="15"/>
      <c r="F2" s="156" t="s">
        <v>1121</v>
      </c>
      <c r="G2" s="15"/>
      <c r="H2" s="15"/>
      <c r="I2" s="15"/>
      <c r="J2" s="15"/>
      <c r="K2" s="603" t="s">
        <v>1288</v>
      </c>
      <c r="L2" s="572"/>
      <c r="M2" s="397"/>
    </row>
    <row r="3" spans="1:13" s="13" customFormat="1" ht="15" customHeight="1">
      <c r="A3" s="17" t="s">
        <v>1123</v>
      </c>
      <c r="B3" s="15"/>
      <c r="C3" s="15"/>
      <c r="D3" s="15"/>
      <c r="E3" s="608" t="str">
        <f>'III-B - #11619'!E3:F3</f>
        <v>Menominee Tribe</v>
      </c>
      <c r="F3" s="608"/>
      <c r="G3" s="15"/>
      <c r="H3" s="15"/>
      <c r="I3" s="15"/>
      <c r="J3" s="15"/>
      <c r="K3" s="616" t="s">
        <v>1289</v>
      </c>
      <c r="L3" s="617"/>
      <c r="M3" s="15"/>
    </row>
    <row r="4" spans="1:13" s="13" customFormat="1" ht="15" customHeight="1">
      <c r="A4" s="17" t="s">
        <v>1125</v>
      </c>
      <c r="B4" s="15"/>
      <c r="C4" s="15"/>
      <c r="D4" s="608" t="e">
        <f>LOOKUP(E5,Date,'Addl Info'!B21:B33)</f>
        <v>#N/A</v>
      </c>
      <c r="E4" s="612"/>
      <c r="F4" s="612"/>
      <c r="G4" s="15"/>
      <c r="H4" s="15"/>
      <c r="I4" s="15"/>
      <c r="J4" s="15"/>
      <c r="K4" s="15"/>
      <c r="L4" s="15"/>
      <c r="M4" s="15"/>
    </row>
    <row r="5" spans="1:13" s="13" customFormat="1" ht="15" customHeight="1">
      <c r="A5" s="17" t="s">
        <v>1126</v>
      </c>
      <c r="B5" s="15"/>
      <c r="C5" s="15"/>
      <c r="D5" s="15"/>
      <c r="E5" s="608" t="str">
        <f>'III-B - #11619'!E5:F5</f>
        <v/>
      </c>
      <c r="F5" s="608"/>
      <c r="G5" s="15"/>
      <c r="H5" s="15"/>
      <c r="I5" s="15"/>
      <c r="J5" s="15"/>
      <c r="K5" s="15"/>
      <c r="L5" s="15"/>
      <c r="M5" s="15"/>
    </row>
    <row r="6" spans="1:13" s="13" customFormat="1" ht="15" customHeight="1">
      <c r="A6" s="17" t="s">
        <v>1127</v>
      </c>
      <c r="B6" s="15"/>
      <c r="C6" s="15"/>
      <c r="D6" s="15"/>
      <c r="E6" s="15"/>
      <c r="F6" s="153" t="s">
        <v>1292</v>
      </c>
      <c r="G6" s="15"/>
      <c r="H6" s="15"/>
      <c r="I6" s="15"/>
      <c r="J6" s="15"/>
      <c r="K6" s="15"/>
      <c r="L6" s="15"/>
      <c r="M6" s="15"/>
    </row>
    <row r="7" spans="1:13" ht="15" customHeight="1">
      <c r="A7" s="606"/>
      <c r="B7" s="607"/>
      <c r="C7" s="607"/>
      <c r="D7" s="607"/>
      <c r="E7" s="607"/>
      <c r="F7" s="607"/>
      <c r="G7" s="607"/>
      <c r="H7" s="607"/>
      <c r="I7" s="607"/>
      <c r="J7" s="607"/>
      <c r="K7" s="607"/>
      <c r="L7" s="607"/>
      <c r="M7" s="397"/>
    </row>
    <row r="8" spans="1:13" s="2" customFormat="1" ht="15" customHeight="1" thickBot="1">
      <c r="A8" s="1"/>
      <c r="B8" s="605" t="s">
        <v>1293</v>
      </c>
      <c r="C8" s="605"/>
      <c r="D8" s="605"/>
      <c r="E8" s="605"/>
      <c r="F8" s="605"/>
      <c r="G8" s="605"/>
      <c r="H8" s="605"/>
      <c r="I8" s="605"/>
      <c r="J8" s="605"/>
      <c r="K8" s="605"/>
      <c r="L8" s="605"/>
    </row>
    <row r="9" spans="1:13" ht="77.099999999999994" customHeight="1">
      <c r="A9" s="178" t="s">
        <v>1128</v>
      </c>
      <c r="B9" s="179" t="s">
        <v>1290</v>
      </c>
      <c r="C9" s="180" t="s">
        <v>343</v>
      </c>
      <c r="D9" s="179" t="s">
        <v>1131</v>
      </c>
      <c r="E9" s="179" t="s">
        <v>1132</v>
      </c>
      <c r="F9" s="179" t="s">
        <v>1133</v>
      </c>
      <c r="G9" s="179" t="s">
        <v>1134</v>
      </c>
      <c r="H9" s="179" t="s">
        <v>1135</v>
      </c>
      <c r="I9" s="179" t="s">
        <v>321</v>
      </c>
      <c r="J9" s="179" t="s">
        <v>325</v>
      </c>
      <c r="K9" s="179" t="s">
        <v>1136</v>
      </c>
      <c r="L9" s="190" t="s">
        <v>1137</v>
      </c>
      <c r="M9" s="154" t="s">
        <v>331</v>
      </c>
    </row>
    <row r="10" spans="1:13" ht="12.9" customHeight="1">
      <c r="A10" s="181" t="s">
        <v>1170</v>
      </c>
      <c r="B10" s="318"/>
      <c r="C10" s="318"/>
      <c r="D10" s="318"/>
      <c r="E10" s="318"/>
      <c r="F10" s="318"/>
      <c r="G10" s="318"/>
      <c r="H10" s="318"/>
      <c r="I10" s="318"/>
      <c r="J10" s="318"/>
      <c r="K10" s="318"/>
      <c r="L10" s="318"/>
      <c r="M10" s="308">
        <f>G10+D10+E10+F10+C10+H10+I10+J10+K10+L10-K10-I10</f>
        <v>0</v>
      </c>
    </row>
    <row r="11" spans="1:13" ht="12.9" customHeight="1">
      <c r="A11" s="212" t="s">
        <v>1171</v>
      </c>
      <c r="B11" s="318"/>
      <c r="C11" s="318"/>
      <c r="D11" s="318"/>
      <c r="E11" s="318"/>
      <c r="F11" s="318"/>
      <c r="G11" s="318"/>
      <c r="H11" s="318"/>
      <c r="I11" s="318"/>
      <c r="J11" s="318"/>
      <c r="K11" s="318"/>
      <c r="L11" s="318"/>
      <c r="M11" s="308">
        <f t="shared" ref="M11:M25" si="0">G11+D11+E11+F11+C11+H11+I11+J11+K11+L11-K11-I11</f>
        <v>0</v>
      </c>
    </row>
    <row r="12" spans="1:13" ht="12.9" customHeight="1">
      <c r="A12" s="212" t="s">
        <v>1172</v>
      </c>
      <c r="B12" s="318"/>
      <c r="C12" s="318"/>
      <c r="D12" s="318"/>
      <c r="E12" s="318"/>
      <c r="F12" s="318"/>
      <c r="G12" s="318"/>
      <c r="H12" s="318"/>
      <c r="I12" s="318"/>
      <c r="J12" s="318"/>
      <c r="K12" s="318"/>
      <c r="L12" s="318"/>
      <c r="M12" s="308">
        <f t="shared" si="0"/>
        <v>0</v>
      </c>
    </row>
    <row r="13" spans="1:13" ht="12.9" customHeight="1">
      <c r="A13" s="181" t="s">
        <v>1173</v>
      </c>
      <c r="B13" s="318"/>
      <c r="C13" s="318"/>
      <c r="D13" s="318"/>
      <c r="E13" s="318"/>
      <c r="F13" s="318"/>
      <c r="G13" s="318"/>
      <c r="H13" s="318"/>
      <c r="I13" s="318"/>
      <c r="J13" s="318"/>
      <c r="K13" s="318"/>
      <c r="L13" s="318"/>
      <c r="M13" s="308">
        <f t="shared" si="0"/>
        <v>0</v>
      </c>
    </row>
    <row r="14" spans="1:13" ht="12.9" customHeight="1">
      <c r="A14" s="181" t="s">
        <v>1174</v>
      </c>
      <c r="B14" s="318"/>
      <c r="C14" s="318"/>
      <c r="D14" s="318"/>
      <c r="E14" s="318"/>
      <c r="F14" s="318"/>
      <c r="G14" s="318"/>
      <c r="H14" s="318"/>
      <c r="I14" s="318"/>
      <c r="J14" s="318"/>
      <c r="K14" s="318"/>
      <c r="L14" s="318"/>
      <c r="M14" s="308">
        <f t="shared" si="0"/>
        <v>0</v>
      </c>
    </row>
    <row r="15" spans="1:13" ht="12.9" customHeight="1">
      <c r="A15" s="182" t="s">
        <v>1175</v>
      </c>
      <c r="B15" s="318"/>
      <c r="C15" s="318"/>
      <c r="D15" s="318"/>
      <c r="E15" s="318"/>
      <c r="F15" s="318"/>
      <c r="G15" s="318"/>
      <c r="H15" s="318"/>
      <c r="I15" s="318"/>
      <c r="J15" s="318"/>
      <c r="K15" s="318"/>
      <c r="L15" s="318"/>
      <c r="M15" s="308">
        <f t="shared" si="0"/>
        <v>0</v>
      </c>
    </row>
    <row r="16" spans="1:13" ht="12.9" customHeight="1">
      <c r="A16" s="212" t="s">
        <v>1176</v>
      </c>
      <c r="B16" s="318"/>
      <c r="C16" s="318"/>
      <c r="D16" s="318"/>
      <c r="E16" s="318"/>
      <c r="F16" s="318"/>
      <c r="G16" s="318"/>
      <c r="H16" s="318"/>
      <c r="I16" s="318"/>
      <c r="J16" s="318"/>
      <c r="K16" s="318"/>
      <c r="L16" s="318"/>
      <c r="M16" s="308">
        <f t="shared" si="0"/>
        <v>0</v>
      </c>
    </row>
    <row r="17" spans="1:13" ht="12.9" customHeight="1">
      <c r="A17" s="212" t="s">
        <v>1177</v>
      </c>
      <c r="B17" s="318"/>
      <c r="C17" s="318"/>
      <c r="D17" s="318"/>
      <c r="E17" s="318"/>
      <c r="F17" s="318"/>
      <c r="G17" s="318"/>
      <c r="H17" s="318"/>
      <c r="I17" s="318"/>
      <c r="J17" s="318"/>
      <c r="K17" s="318"/>
      <c r="L17" s="318"/>
      <c r="M17" s="308">
        <f t="shared" si="0"/>
        <v>0</v>
      </c>
    </row>
    <row r="18" spans="1:13" ht="12.9" customHeight="1">
      <c r="A18" s="213" t="s">
        <v>1178</v>
      </c>
      <c r="B18" s="318"/>
      <c r="C18" s="318"/>
      <c r="D18" s="318"/>
      <c r="E18" s="318"/>
      <c r="F18" s="318"/>
      <c r="G18" s="318"/>
      <c r="H18" s="318"/>
      <c r="I18" s="318"/>
      <c r="J18" s="318"/>
      <c r="K18" s="318"/>
      <c r="L18" s="318"/>
      <c r="M18" s="308">
        <f t="shared" si="0"/>
        <v>0</v>
      </c>
    </row>
    <row r="19" spans="1:13" ht="12.9" customHeight="1">
      <c r="A19" s="212" t="s">
        <v>1179</v>
      </c>
      <c r="B19" s="318"/>
      <c r="C19" s="318"/>
      <c r="D19" s="318"/>
      <c r="E19" s="318"/>
      <c r="F19" s="318"/>
      <c r="G19" s="318"/>
      <c r="H19" s="318"/>
      <c r="I19" s="318"/>
      <c r="J19" s="318"/>
      <c r="K19" s="318"/>
      <c r="L19" s="318"/>
      <c r="M19" s="308">
        <f t="shared" si="0"/>
        <v>0</v>
      </c>
    </row>
    <row r="20" spans="1:13" ht="12.9" customHeight="1">
      <c r="A20" s="212" t="s">
        <v>1180</v>
      </c>
      <c r="B20" s="318"/>
      <c r="C20" s="318"/>
      <c r="D20" s="318"/>
      <c r="E20" s="318"/>
      <c r="F20" s="318"/>
      <c r="G20" s="318"/>
      <c r="H20" s="318"/>
      <c r="I20" s="318"/>
      <c r="J20" s="318"/>
      <c r="K20" s="318"/>
      <c r="L20" s="318"/>
      <c r="M20" s="308">
        <f t="shared" si="0"/>
        <v>0</v>
      </c>
    </row>
    <row r="21" spans="1:13" ht="12.9" customHeight="1">
      <c r="A21" s="181" t="s">
        <v>1181</v>
      </c>
      <c r="B21" s="318"/>
      <c r="C21" s="318"/>
      <c r="D21" s="318"/>
      <c r="E21" s="318"/>
      <c r="F21" s="318"/>
      <c r="G21" s="318"/>
      <c r="H21" s="318"/>
      <c r="I21" s="318"/>
      <c r="J21" s="318"/>
      <c r="K21" s="318"/>
      <c r="L21" s="318"/>
      <c r="M21" s="308">
        <f t="shared" si="0"/>
        <v>0</v>
      </c>
    </row>
    <row r="22" spans="1:13" ht="12.9" customHeight="1">
      <c r="A22" s="212" t="s">
        <v>1182</v>
      </c>
      <c r="B22" s="318"/>
      <c r="C22" s="318"/>
      <c r="D22" s="318"/>
      <c r="E22" s="318"/>
      <c r="F22" s="318"/>
      <c r="G22" s="318"/>
      <c r="H22" s="318"/>
      <c r="I22" s="318"/>
      <c r="J22" s="318"/>
      <c r="K22" s="318"/>
      <c r="L22" s="318"/>
      <c r="M22" s="308">
        <f t="shared" si="0"/>
        <v>0</v>
      </c>
    </row>
    <row r="23" spans="1:13" ht="12.9" customHeight="1">
      <c r="A23" s="212" t="s">
        <v>1183</v>
      </c>
      <c r="B23" s="306"/>
      <c r="C23" s="318"/>
      <c r="D23" s="318"/>
      <c r="E23" s="318"/>
      <c r="F23" s="318"/>
      <c r="G23" s="318"/>
      <c r="H23" s="318"/>
      <c r="I23" s="318"/>
      <c r="J23" s="318"/>
      <c r="K23" s="318"/>
      <c r="L23" s="318"/>
      <c r="M23" s="308">
        <f t="shared" si="0"/>
        <v>0</v>
      </c>
    </row>
    <row r="24" spans="1:13" ht="12.9" customHeight="1">
      <c r="A24" s="212" t="s">
        <v>1184</v>
      </c>
      <c r="B24" s="318"/>
      <c r="C24" s="318"/>
      <c r="D24" s="318"/>
      <c r="E24" s="318"/>
      <c r="F24" s="318"/>
      <c r="G24" s="318"/>
      <c r="H24" s="318"/>
      <c r="I24" s="318"/>
      <c r="J24" s="318"/>
      <c r="K24" s="318"/>
      <c r="L24" s="318"/>
      <c r="M24" s="308">
        <f t="shared" si="0"/>
        <v>0</v>
      </c>
    </row>
    <row r="25" spans="1:13" ht="12.9" customHeight="1">
      <c r="A25" s="212" t="s">
        <v>1185</v>
      </c>
      <c r="B25" s="318"/>
      <c r="C25" s="318"/>
      <c r="D25" s="318"/>
      <c r="E25" s="318"/>
      <c r="F25" s="318"/>
      <c r="G25" s="318"/>
      <c r="H25" s="318"/>
      <c r="I25" s="318"/>
      <c r="J25" s="318"/>
      <c r="K25" s="318"/>
      <c r="L25" s="318"/>
      <c r="M25" s="308">
        <f t="shared" si="0"/>
        <v>0</v>
      </c>
    </row>
    <row r="26" spans="1:13" ht="12.9" customHeight="1">
      <c r="A26" s="181"/>
      <c r="B26" s="320"/>
      <c r="C26" s="320"/>
      <c r="D26" s="320"/>
      <c r="E26" s="320"/>
      <c r="F26" s="320"/>
      <c r="G26" s="320"/>
      <c r="H26" s="320"/>
      <c r="I26" s="320"/>
      <c r="J26" s="320"/>
      <c r="K26" s="320"/>
      <c r="L26" s="321"/>
      <c r="M26" s="322"/>
    </row>
    <row r="27" spans="1:13" ht="12.9" customHeight="1">
      <c r="A27" s="182"/>
      <c r="B27" s="320"/>
      <c r="C27" s="320"/>
      <c r="D27" s="320"/>
      <c r="E27" s="320"/>
      <c r="F27" s="320"/>
      <c r="G27" s="320"/>
      <c r="H27" s="320"/>
      <c r="I27" s="320"/>
      <c r="J27" s="320"/>
      <c r="K27" s="320"/>
      <c r="L27" s="321"/>
      <c r="M27" s="322"/>
    </row>
    <row r="28" spans="1:13" ht="12.9" customHeight="1">
      <c r="A28" s="183"/>
      <c r="B28" s="320"/>
      <c r="C28" s="320"/>
      <c r="D28" s="320"/>
      <c r="E28" s="320"/>
      <c r="F28" s="320"/>
      <c r="G28" s="320"/>
      <c r="H28" s="320"/>
      <c r="I28" s="320"/>
      <c r="J28" s="320"/>
      <c r="K28" s="320"/>
      <c r="L28" s="321"/>
      <c r="M28" s="322"/>
    </row>
    <row r="29" spans="1:13" ht="12.9" customHeight="1">
      <c r="A29" s="182"/>
      <c r="B29" s="320"/>
      <c r="C29" s="320"/>
      <c r="D29" s="320"/>
      <c r="E29" s="320"/>
      <c r="F29" s="320"/>
      <c r="G29" s="320"/>
      <c r="H29" s="320"/>
      <c r="I29" s="320"/>
      <c r="J29" s="320"/>
      <c r="K29" s="320"/>
      <c r="L29" s="321"/>
      <c r="M29" s="322"/>
    </row>
    <row r="30" spans="1:13" ht="12.9" customHeight="1">
      <c r="A30" s="184"/>
      <c r="B30" s="320"/>
      <c r="C30" s="320"/>
      <c r="D30" s="320"/>
      <c r="E30" s="320"/>
      <c r="F30" s="320"/>
      <c r="G30" s="320"/>
      <c r="H30" s="320"/>
      <c r="I30" s="320"/>
      <c r="J30" s="320"/>
      <c r="K30" s="320"/>
      <c r="L30" s="321"/>
      <c r="M30" s="322"/>
    </row>
    <row r="31" spans="1:13" ht="12.9" customHeight="1">
      <c r="A31" s="182"/>
      <c r="B31" s="320"/>
      <c r="C31" s="320"/>
      <c r="D31" s="320"/>
      <c r="E31" s="320"/>
      <c r="F31" s="320"/>
      <c r="G31" s="320"/>
      <c r="H31" s="320"/>
      <c r="I31" s="320"/>
      <c r="J31" s="320"/>
      <c r="K31" s="320"/>
      <c r="L31" s="321"/>
      <c r="M31" s="322"/>
    </row>
    <row r="32" spans="1:13" ht="12.9" customHeight="1">
      <c r="A32" s="182"/>
      <c r="B32" s="320"/>
      <c r="C32" s="320"/>
      <c r="D32" s="320"/>
      <c r="E32" s="320"/>
      <c r="F32" s="320"/>
      <c r="G32" s="320"/>
      <c r="H32" s="320"/>
      <c r="I32" s="320"/>
      <c r="J32" s="320"/>
      <c r="K32" s="320"/>
      <c r="L32" s="321"/>
      <c r="M32" s="322"/>
    </row>
    <row r="33" spans="1:14" ht="12.9" customHeight="1">
      <c r="A33" s="182"/>
      <c r="B33" s="320"/>
      <c r="C33" s="320"/>
      <c r="D33" s="320"/>
      <c r="E33" s="320"/>
      <c r="F33" s="320"/>
      <c r="G33" s="320"/>
      <c r="H33" s="320"/>
      <c r="I33" s="320"/>
      <c r="J33" s="320"/>
      <c r="K33" s="320"/>
      <c r="L33" s="321"/>
      <c r="M33" s="322"/>
      <c r="N33" s="397"/>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SUM(B10:B34)-B17</f>
        <v>0</v>
      </c>
      <c r="C35" s="316">
        <f t="shared" ref="C35:L35" si="1">SUM(C10:C34)-C17</f>
        <v>0</v>
      </c>
      <c r="D35" s="316">
        <f t="shared" si="1"/>
        <v>0</v>
      </c>
      <c r="E35" s="316">
        <f t="shared" si="1"/>
        <v>0</v>
      </c>
      <c r="F35" s="316">
        <f t="shared" si="1"/>
        <v>0</v>
      </c>
      <c r="G35" s="316">
        <f t="shared" si="1"/>
        <v>0</v>
      </c>
      <c r="H35" s="316">
        <f t="shared" si="1"/>
        <v>0</v>
      </c>
      <c r="I35" s="316">
        <f t="shared" si="1"/>
        <v>0</v>
      </c>
      <c r="J35" s="316">
        <f t="shared" si="1"/>
        <v>0</v>
      </c>
      <c r="K35" s="316">
        <f t="shared" si="1"/>
        <v>0</v>
      </c>
      <c r="L35" s="316">
        <f t="shared" si="1"/>
        <v>0</v>
      </c>
      <c r="M35" s="308">
        <f t="shared" ref="M35" si="2">G35+D35+E35+F35+C35+H35+I35+J35+K35+L35-K35-I35</f>
        <v>0</v>
      </c>
      <c r="N35" s="225"/>
    </row>
    <row r="36" spans="1:14" s="15" customFormat="1" ht="12.9" customHeight="1">
      <c r="A36" s="214" t="s">
        <v>1294</v>
      </c>
      <c r="B36" s="171"/>
      <c r="C36" s="171"/>
      <c r="D36" s="171"/>
      <c r="E36" s="171"/>
      <c r="F36" s="171"/>
      <c r="G36" s="171"/>
      <c r="H36" s="171"/>
      <c r="I36" s="171"/>
      <c r="J36" s="171"/>
      <c r="K36" s="171"/>
      <c r="L36" s="171"/>
      <c r="M36" s="226"/>
      <c r="N36" s="226" t="str">
        <f>IF(ISERROR(MATCH("x",N10:N35,0)),"","x")</f>
        <v/>
      </c>
    </row>
    <row r="37" spans="1:14" s="15" customFormat="1" ht="12.9" customHeight="1">
      <c r="B37" s="225"/>
      <c r="C37" s="225"/>
      <c r="D37" s="225"/>
      <c r="E37" s="225"/>
      <c r="F37" s="225"/>
      <c r="G37" s="225"/>
      <c r="H37" s="225"/>
      <c r="I37" s="225"/>
      <c r="J37" s="225"/>
      <c r="K37" s="225"/>
      <c r="L37" s="225"/>
      <c r="N37" s="226" t="str">
        <f>IF(ISERROR(MATCH("x",B37:L37,0)),"","x")</f>
        <v/>
      </c>
    </row>
    <row r="38" spans="1:14" ht="12.9" customHeight="1" thickBot="1">
      <c r="A38" s="613"/>
      <c r="B38" s="614"/>
      <c r="C38" s="614"/>
      <c r="D38" s="614"/>
      <c r="E38" s="614"/>
      <c r="F38" s="614"/>
      <c r="G38" s="614"/>
      <c r="H38" s="12"/>
      <c r="I38" s="12"/>
      <c r="J38" s="12"/>
      <c r="K38" s="12"/>
      <c r="L38" s="12"/>
      <c r="M38" s="15"/>
      <c r="N38" s="397"/>
    </row>
    <row r="39" spans="1:14" ht="12.9" customHeight="1" thickBot="1">
      <c r="A39" s="348" t="s">
        <v>1187</v>
      </c>
      <c r="B39" s="352">
        <f>SUM(B10:B30)</f>
        <v>0</v>
      </c>
      <c r="C39" s="352">
        <f t="shared" ref="C39:L39" si="3">SUM(C10:C30)</f>
        <v>0</v>
      </c>
      <c r="D39" s="352">
        <f t="shared" si="3"/>
        <v>0</v>
      </c>
      <c r="E39" s="352">
        <f t="shared" si="3"/>
        <v>0</v>
      </c>
      <c r="F39" s="352">
        <f t="shared" si="3"/>
        <v>0</v>
      </c>
      <c r="G39" s="352">
        <f t="shared" si="3"/>
        <v>0</v>
      </c>
      <c r="H39" s="352">
        <f t="shared" si="3"/>
        <v>0</v>
      </c>
      <c r="I39" s="352">
        <f t="shared" si="3"/>
        <v>0</v>
      </c>
      <c r="J39" s="352">
        <f t="shared" si="3"/>
        <v>0</v>
      </c>
      <c r="K39" s="352">
        <f t="shared" si="3"/>
        <v>0</v>
      </c>
      <c r="L39" s="352">
        <f t="shared" si="3"/>
        <v>0</v>
      </c>
      <c r="M39" s="308">
        <f t="shared" ref="M39" si="4">G39+D39+E39+F39+C39+H39+I39+J39+K39+L39-K39-I39</f>
        <v>0</v>
      </c>
      <c r="N39" s="397"/>
    </row>
    <row r="40" spans="1:14" ht="12.9" customHeight="1">
      <c r="A40" s="397"/>
      <c r="B40" s="147"/>
      <c r="C40" s="12"/>
      <c r="D40" s="12"/>
      <c r="E40" s="12"/>
      <c r="F40" s="12"/>
      <c r="G40" s="12"/>
      <c r="H40" s="12"/>
      <c r="I40" s="397"/>
      <c r="J40" s="397"/>
      <c r="K40" s="397"/>
      <c r="L40" s="397"/>
      <c r="M40" s="397"/>
      <c r="N40" s="397"/>
    </row>
    <row r="41" spans="1:14" ht="12.9" customHeight="1">
      <c r="A41" s="397"/>
      <c r="B41" s="15"/>
      <c r="C41" s="15"/>
      <c r="D41" s="397"/>
      <c r="E41" s="397"/>
      <c r="F41" s="15"/>
      <c r="G41" s="15"/>
      <c r="H41" s="397"/>
      <c r="I41" s="397"/>
      <c r="J41" s="397"/>
      <c r="K41" s="397"/>
      <c r="L41" s="397"/>
      <c r="M41" s="397"/>
      <c r="N41" s="397"/>
    </row>
    <row r="42" spans="1:14" ht="12.9" customHeight="1">
      <c r="A42" s="397"/>
      <c r="B42" s="15"/>
      <c r="C42" s="15"/>
      <c r="D42" s="397"/>
      <c r="E42" s="397"/>
      <c r="F42" s="15"/>
      <c r="G42" s="15"/>
      <c r="H42" s="397"/>
      <c r="I42" s="397"/>
      <c r="J42" s="397"/>
      <c r="K42" s="397"/>
      <c r="L42" s="397"/>
      <c r="M42" s="397"/>
      <c r="N42" s="397"/>
    </row>
    <row r="43" spans="1:14" ht="12.9" customHeight="1">
      <c r="A43" s="397"/>
      <c r="B43" s="12"/>
      <c r="C43" s="397"/>
      <c r="D43" s="397"/>
      <c r="E43" s="397"/>
      <c r="F43" s="397"/>
      <c r="G43" s="397"/>
      <c r="H43" s="397"/>
      <c r="I43" s="397"/>
      <c r="J43" s="397"/>
      <c r="K43" s="397"/>
      <c r="L43" s="397"/>
      <c r="M43" s="397"/>
      <c r="N43" s="397"/>
    </row>
    <row r="44" spans="1:14" ht="12.9" customHeight="1">
      <c r="A44" s="397"/>
      <c r="B44" s="351"/>
      <c r="C44" s="12"/>
      <c r="D44" s="397"/>
      <c r="E44" s="397"/>
      <c r="F44" s="397"/>
      <c r="G44" s="397"/>
      <c r="H44" s="397"/>
      <c r="I44" s="397"/>
      <c r="J44" s="397"/>
      <c r="K44" s="397"/>
      <c r="L44" s="397"/>
      <c r="M44" s="397"/>
      <c r="N44" s="397"/>
    </row>
    <row r="45" spans="1:14" ht="12.9" customHeight="1">
      <c r="A45" s="397"/>
      <c r="B45" s="72"/>
      <c r="C45" s="601"/>
      <c r="D45" s="601"/>
      <c r="E45" s="601"/>
      <c r="F45" s="601"/>
      <c r="G45" s="601"/>
      <c r="H45" s="601"/>
      <c r="I45" s="601"/>
      <c r="J45" s="601"/>
      <c r="K45" s="601"/>
      <c r="L45" s="601"/>
      <c r="M45" s="397"/>
      <c r="N45" s="397"/>
    </row>
    <row r="46" spans="1:14" ht="12.9" customHeight="1">
      <c r="A46" s="397"/>
      <c r="B46" s="72"/>
      <c r="C46" s="601"/>
      <c r="D46" s="574"/>
      <c r="E46" s="574"/>
      <c r="F46" s="574"/>
      <c r="G46" s="574"/>
      <c r="H46" s="574"/>
      <c r="I46" s="574"/>
      <c r="J46" s="397"/>
      <c r="K46" s="397"/>
      <c r="L46" s="397"/>
      <c r="M46" s="397"/>
      <c r="N46" s="397"/>
    </row>
    <row r="47" spans="1:14" ht="12.9" customHeight="1">
      <c r="A47" s="397"/>
      <c r="B47" s="72"/>
      <c r="C47" s="601"/>
      <c r="D47" s="601"/>
      <c r="E47" s="601"/>
      <c r="F47" s="601"/>
      <c r="G47" s="601"/>
      <c r="H47" s="601"/>
      <c r="I47" s="601"/>
      <c r="J47" s="601"/>
      <c r="K47" s="601"/>
      <c r="L47" s="601"/>
      <c r="M47" s="397"/>
      <c r="N47" s="397"/>
    </row>
    <row r="48" spans="1:14" ht="12.9" customHeight="1">
      <c r="A48" s="397"/>
      <c r="B48" s="12"/>
      <c r="C48" s="601"/>
      <c r="D48" s="574"/>
      <c r="E48" s="574"/>
      <c r="F48" s="574"/>
      <c r="G48" s="574"/>
      <c r="H48" s="574"/>
      <c r="I48" s="574"/>
      <c r="J48" s="397"/>
      <c r="K48" s="397"/>
      <c r="L48" s="397"/>
      <c r="M48" s="397"/>
      <c r="N48" s="397"/>
    </row>
    <row r="49" spans="1:18" ht="12.9" customHeight="1">
      <c r="A49" s="397"/>
      <c r="B49" s="12"/>
      <c r="C49" s="397"/>
      <c r="D49" s="397"/>
      <c r="E49" s="397"/>
      <c r="F49" s="397"/>
      <c r="G49" s="397"/>
      <c r="H49" s="397"/>
      <c r="I49" s="397"/>
      <c r="J49" s="397"/>
      <c r="K49" s="397"/>
      <c r="L49" s="397"/>
      <c r="M49" s="397"/>
      <c r="N49" s="397"/>
      <c r="O49" s="397"/>
      <c r="P49" s="397"/>
      <c r="Q49" s="397"/>
      <c r="R49" s="397"/>
    </row>
    <row r="50" spans="1:18" s="15" customFormat="1" ht="12.9" customHeight="1">
      <c r="A50" s="15" t="str">
        <f>IF(B50="X","Program Income Carryover","")</f>
        <v/>
      </c>
      <c r="B50" s="227" t="str">
        <f>IF(K35&gt;L35,"X","")</f>
        <v/>
      </c>
      <c r="C50" s="600" t="str">
        <f>IF(B50="x","You cannot claim against this contract until all prior year program income has been expended.","")</f>
        <v/>
      </c>
      <c r="D50" s="574"/>
      <c r="E50" s="574"/>
      <c r="F50" s="574"/>
      <c r="G50" s="574"/>
      <c r="H50" s="574"/>
      <c r="I50" s="574"/>
      <c r="M50" s="167" t="str">
        <f>IF(B50="x","X","")</f>
        <v/>
      </c>
      <c r="N50" s="146"/>
      <c r="O50" s="146"/>
      <c r="P50" s="146"/>
      <c r="Q50" s="146"/>
      <c r="R50" s="146"/>
    </row>
    <row r="51" spans="1:18" s="15" customFormat="1" ht="12.9" customHeight="1">
      <c r="A51" s="15" t="e">
        <f>IF(B51="x","Non-Submission Period","")</f>
        <v>#N/A</v>
      </c>
      <c r="B51" s="227" t="e">
        <f>IF(D4="Non-Submission Period","X","")</f>
        <v>#N/A</v>
      </c>
      <c r="C51" s="600" t="e">
        <f>IF(B51="x","You cannot claim against this contract as this is a Non-Submission Period for the contract.","")</f>
        <v>#N/A</v>
      </c>
      <c r="D51" s="574"/>
      <c r="E51" s="574"/>
      <c r="F51" s="574"/>
      <c r="G51" s="574"/>
      <c r="H51" s="574"/>
      <c r="I51" s="574"/>
      <c r="M51" s="167" t="e">
        <f>IF(B51="x","X","")</f>
        <v>#N/A</v>
      </c>
    </row>
    <row r="52" spans="1:18" s="15" customFormat="1" ht="12.9" customHeight="1">
      <c r="A52" s="15" t="str">
        <f>IF(OR(N37="x",N36="x"),"Cell Error","")</f>
        <v/>
      </c>
      <c r="B52" s="156" t="str">
        <f>IF(OR(N37="x",N36="x"),"X","")</f>
        <v/>
      </c>
      <c r="C52" s="601" t="str">
        <f>IF(OR(N37="x",N36="x"),"Double check your columns for '#VALUE!' - this indicates an error on that line item.","")</f>
        <v/>
      </c>
      <c r="D52" s="601"/>
      <c r="E52" s="601"/>
      <c r="F52" s="601"/>
      <c r="G52" s="601"/>
      <c r="H52" s="601"/>
      <c r="I52" s="601"/>
      <c r="J52" s="574"/>
      <c r="M52" s="167" t="str">
        <f>IF(B52="x","X","")</f>
        <v/>
      </c>
    </row>
    <row r="53" spans="1:18">
      <c r="A53" s="15"/>
      <c r="B53" s="15"/>
      <c r="C53" s="15"/>
      <c r="D53" s="15"/>
      <c r="E53" s="15"/>
      <c r="F53" s="397"/>
      <c r="G53" s="397"/>
      <c r="H53" s="397"/>
      <c r="I53" s="397"/>
      <c r="J53" s="397"/>
      <c r="K53" s="397"/>
      <c r="L53" s="397"/>
      <c r="M53" s="397"/>
      <c r="N53" s="397"/>
      <c r="O53" s="397"/>
      <c r="P53" s="397"/>
      <c r="Q53" s="397"/>
      <c r="R53" s="397"/>
    </row>
    <row r="54" spans="1:18">
      <c r="A54" s="15"/>
      <c r="B54" s="15"/>
      <c r="C54" s="15"/>
      <c r="D54" s="15"/>
      <c r="E54" s="15"/>
      <c r="F54" s="397"/>
      <c r="G54" s="397"/>
      <c r="H54" s="397"/>
      <c r="I54" s="397"/>
      <c r="J54" s="397"/>
      <c r="K54" s="397"/>
      <c r="L54" s="397"/>
      <c r="M54" s="397"/>
      <c r="N54" s="397"/>
      <c r="O54" s="397"/>
      <c r="P54" s="397"/>
      <c r="Q54" s="397"/>
      <c r="R54" s="397"/>
    </row>
    <row r="55" spans="1:18">
      <c r="A55" s="15"/>
      <c r="B55" s="15"/>
      <c r="C55" s="15"/>
      <c r="D55" s="15"/>
      <c r="E55" s="15"/>
      <c r="F55" s="397"/>
      <c r="G55" s="397"/>
      <c r="H55" s="397"/>
      <c r="I55" s="397"/>
      <c r="J55" s="397"/>
      <c r="K55" s="397"/>
      <c r="L55" s="397"/>
      <c r="M55" s="397"/>
      <c r="N55" s="397"/>
      <c r="O55" s="397"/>
      <c r="P55" s="397"/>
      <c r="Q55" s="397"/>
      <c r="R55" s="397"/>
    </row>
  </sheetData>
  <sheetProtection password="C3C4" sheet="1" objects="1" scenarios="1"/>
  <mergeCells count="16">
    <mergeCell ref="E5:F5"/>
    <mergeCell ref="K1:L1"/>
    <mergeCell ref="K2:L2"/>
    <mergeCell ref="E3:F3"/>
    <mergeCell ref="K3:L3"/>
    <mergeCell ref="D4:F4"/>
    <mergeCell ref="A7:L7"/>
    <mergeCell ref="B8:L8"/>
    <mergeCell ref="A38:G38"/>
    <mergeCell ref="C45:L45"/>
    <mergeCell ref="C46:I46"/>
    <mergeCell ref="C50:I50"/>
    <mergeCell ref="C51:I51"/>
    <mergeCell ref="C52:J52"/>
    <mergeCell ref="C47:L47"/>
    <mergeCell ref="C48:I48"/>
  </mergeCells>
  <conditionalFormatting sqref="C44">
    <cfRule type="cellIs" dxfId="490" priority="31" stopIfTrue="1" operator="equal">
      <formula>"You are over budget on expenditures."</formula>
    </cfRule>
  </conditionalFormatting>
  <conditionalFormatting sqref="C45">
    <cfRule type="containsText" dxfId="489" priority="29" stopIfTrue="1" operator="containsText" text="Not Ok">
      <formula>NOT(ISERROR(SEARCH("Not Ok",C45)))</formula>
    </cfRule>
  </conditionalFormatting>
  <conditionalFormatting sqref="C45:C48">
    <cfRule type="containsText" dxfId="488" priority="27" stopIfTrue="1" operator="containsText" text="Not Ok">
      <formula>NOT(ISERROR(SEARCH("Not Ok",C45)))</formula>
    </cfRule>
    <cfRule type="containsText" dxfId="487" priority="28" stopIfTrue="1" operator="containsText" text="Not Ok">
      <formula>NOT(ISERROR(SEARCH("Not Ok",C45)))</formula>
    </cfRule>
  </conditionalFormatting>
  <conditionalFormatting sqref="C46:H48 I48 C45">
    <cfRule type="containsText" dxfId="486" priority="26" stopIfTrue="1" operator="containsText" text="Not Ok">
      <formula>NOT(ISERROR(SEARCH("Not Ok",C45)))</formula>
    </cfRule>
  </conditionalFormatting>
  <conditionalFormatting sqref="A38">
    <cfRule type="containsText" dxfId="485" priority="24" stopIfTrue="1" operator="containsText" text="Not Ok">
      <formula>NOT(ISERROR(SEARCH("Not Ok",A38)))</formula>
    </cfRule>
    <cfRule type="containsText" dxfId="484" priority="25" stopIfTrue="1" operator="containsText" text="Not Ok">
      <formula>NOT(ISERROR(SEARCH("Not Ok",A38)))</formula>
    </cfRule>
  </conditionalFormatting>
  <conditionalFormatting sqref="A38:F38">
    <cfRule type="containsText" dxfId="483" priority="23" stopIfTrue="1" operator="containsText" text="Not Ok">
      <formula>NOT(ISERROR(SEARCH("Not Ok",A38)))</formula>
    </cfRule>
  </conditionalFormatting>
  <conditionalFormatting sqref="B40">
    <cfRule type="cellIs" dxfId="482" priority="21" stopIfTrue="1" operator="equal">
      <formula>"You cannot claim against this contract until all prior year program income has been expended."</formula>
    </cfRule>
  </conditionalFormatting>
  <conditionalFormatting sqref="C41">
    <cfRule type="cellIs" dxfId="481" priority="22" stopIfTrue="1" operator="equal">
      <formula>"You are over budget on expenditures."</formula>
    </cfRule>
  </conditionalFormatting>
  <conditionalFormatting sqref="C41">
    <cfRule type="cellIs" dxfId="480" priority="20" stopIfTrue="1" operator="equal">
      <formula>"You are over budget on expenditures."</formula>
    </cfRule>
  </conditionalFormatting>
  <conditionalFormatting sqref="C41">
    <cfRule type="cellIs" dxfId="479" priority="19" stopIfTrue="1" operator="equal">
      <formula>"You are over budget on expenditures."</formula>
    </cfRule>
  </conditionalFormatting>
  <conditionalFormatting sqref="C41">
    <cfRule type="cellIs" dxfId="478" priority="18" stopIfTrue="1" operator="equal">
      <formula>"You are over budget on expenditures."</formula>
    </cfRule>
  </conditionalFormatting>
  <conditionalFormatting sqref="C41">
    <cfRule type="cellIs" dxfId="477" priority="17" stopIfTrue="1" operator="equal">
      <formula>"You are over budget on expenditures."</formula>
    </cfRule>
  </conditionalFormatting>
  <conditionalFormatting sqref="C41">
    <cfRule type="cellIs" dxfId="476" priority="16" stopIfTrue="1" operator="equal">
      <formula>"You are over budget on expenditures."</formula>
    </cfRule>
  </conditionalFormatting>
  <conditionalFormatting sqref="C41">
    <cfRule type="cellIs" dxfId="475" priority="15" stopIfTrue="1" operator="equal">
      <formula>"You are over budget on expenditures."</formula>
    </cfRule>
  </conditionalFormatting>
  <conditionalFormatting sqref="C41">
    <cfRule type="cellIs" dxfId="474" priority="14" stopIfTrue="1" operator="equal">
      <formula>"You are over budget on expenditures."</formula>
    </cfRule>
  </conditionalFormatting>
  <conditionalFormatting sqref="C41">
    <cfRule type="cellIs" dxfId="473" priority="13" stopIfTrue="1" operator="equal">
      <formula>"You are over budget on expenditures."</formula>
    </cfRule>
  </conditionalFormatting>
  <conditionalFormatting sqref="B39:B40 C39:L39">
    <cfRule type="cellIs" dxfId="472" priority="12" stopIfTrue="1" operator="equal">
      <formula>"You cannot claim against this contract until all prior year program income has been expended."</formula>
    </cfRule>
  </conditionalFormatting>
  <conditionalFormatting sqref="M10:M25">
    <cfRule type="containsText" dxfId="471" priority="10" operator="containsText" text="#">
      <formula>NOT(ISERROR(SEARCH("#",M10)))</formula>
    </cfRule>
  </conditionalFormatting>
  <conditionalFormatting sqref="B36:L36">
    <cfRule type="containsText" dxfId="470" priority="9" operator="containsText" text="Error">
      <formula>NOT(ISERROR(SEARCH("Error",B36)))</formula>
    </cfRule>
  </conditionalFormatting>
  <conditionalFormatting sqref="B50">
    <cfRule type="cellIs" dxfId="469" priority="7" stopIfTrue="1" operator="equal">
      <formula>"You cannot claim against this contract until all prior year program income has been expended."</formula>
    </cfRule>
  </conditionalFormatting>
  <conditionalFormatting sqref="C50:C51">
    <cfRule type="containsText" dxfId="468" priority="6" operator="containsText" text="You">
      <formula>NOT(ISERROR(SEARCH("You",C50)))</formula>
    </cfRule>
  </conditionalFormatting>
  <conditionalFormatting sqref="M50:M51">
    <cfRule type="containsText" dxfId="467" priority="5" operator="containsText" text="You">
      <formula>NOT(ISERROR(SEARCH("You",M50)))</formula>
    </cfRule>
  </conditionalFormatting>
  <conditionalFormatting sqref="C52">
    <cfRule type="containsText" dxfId="466" priority="4" operator="containsText" text="Double">
      <formula>NOT(ISERROR(SEARCH("Double",C52)))</formula>
    </cfRule>
  </conditionalFormatting>
  <conditionalFormatting sqref="M52">
    <cfRule type="containsText" dxfId="465" priority="3" operator="containsText" text="You">
      <formula>NOT(ISERROR(SEARCH("You",M52)))</formula>
    </cfRule>
  </conditionalFormatting>
  <conditionalFormatting sqref="M35">
    <cfRule type="containsText" dxfId="464" priority="2" operator="containsText" text="#">
      <formula>NOT(ISERROR(SEARCH("#",M35)))</formula>
    </cfRule>
  </conditionalFormatting>
  <conditionalFormatting sqref="M39">
    <cfRule type="containsText" dxfId="463" priority="1" operator="containsText" text="#">
      <formula>NOT(ISERROR(SEARCH("#",M39)))</formula>
    </cfRule>
  </conditionalFormatting>
  <dataValidations count="1">
    <dataValidation type="whole" allowBlank="1" showInputMessage="1" showErrorMessage="1" errorTitle="Whole Number Validation" error="You must enter all dollars as whole numbers - no decimals (cents) or spaces." sqref="B10:L25" xr:uid="{E44DB7DE-9C75-4549-BD60-2BBA66B9FA99}">
      <formula1>-100000000</formula1>
      <formula2>100000000</formula2>
    </dataValidation>
  </dataValidations>
  <printOptions horizontalCentered="1"/>
  <pageMargins left="0.25" right="0.25" top="0.25" bottom="0.5" header="0" footer="0"/>
  <pageSetup scale="7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3"/>
    <pageSetUpPr fitToPage="1"/>
  </sheetPr>
  <dimension ref="A1:R56"/>
  <sheetViews>
    <sheetView workbookViewId="0">
      <selection activeCell="A7" sqref="A7:L7"/>
    </sheetView>
  </sheetViews>
  <sheetFormatPr defaultRowHeight="15" customHeight="1"/>
  <cols>
    <col min="1" max="1" width="31.6640625" customWidth="1"/>
    <col min="2" max="12" width="12.6640625" customWidth="1"/>
    <col min="13" max="13" width="15.6640625" customWidth="1"/>
    <col min="14" max="14" width="9.109375" style="15"/>
  </cols>
  <sheetData>
    <row r="1" spans="1:14" s="13" customFormat="1" ht="15" customHeight="1">
      <c r="A1" s="601" t="e">
        <f>IF(AND(G5="x",OR(M43="x",M44="x",M45="x",M46="x",M47="x",M50="x",M51="x",M36="x",M52="x")),"End of Year approaching, please address errors listed below.","")</f>
        <v>#N/A</v>
      </c>
      <c r="B1" s="601"/>
      <c r="C1" s="601"/>
      <c r="D1" s="15"/>
      <c r="E1" s="15"/>
      <c r="F1" s="15"/>
      <c r="G1" s="15"/>
      <c r="H1" s="15"/>
      <c r="I1" s="15"/>
      <c r="J1" s="15"/>
      <c r="K1" s="604" t="s">
        <v>1295</v>
      </c>
      <c r="L1" s="572"/>
      <c r="M1" s="397"/>
      <c r="N1" s="167" t="e">
        <f>IF(AND(G5="x",OR(M43="x",M44="x",M45="x",M46="x",M47="x",M50="x",M51="x",M36="x",M52="x")),"x","")</f>
        <v>#N/A</v>
      </c>
    </row>
    <row r="2" spans="1:14" s="13" customFormat="1" ht="15" customHeight="1">
      <c r="A2" s="601" t="e">
        <f>IF(G5="x","",IF(OR(M50="x",M51="x",M36="x",M43="x",M52="x"),"Please address the errors listed below.",""))</f>
        <v>#N/A</v>
      </c>
      <c r="B2" s="574"/>
      <c r="C2" s="15"/>
      <c r="D2" s="15"/>
      <c r="E2" s="15"/>
      <c r="F2" s="156" t="s">
        <v>1121</v>
      </c>
      <c r="G2" s="15"/>
      <c r="H2" s="15"/>
      <c r="I2" s="15"/>
      <c r="J2" s="15"/>
      <c r="K2" s="603" t="s">
        <v>1296</v>
      </c>
      <c r="L2" s="572"/>
      <c r="M2" s="397"/>
      <c r="N2" s="167" t="e">
        <f>IF(G5="x","",IF(OR(M50="x",M51="x",M36="x",M43="x",M52="x"),"x",""))</f>
        <v>#N/A</v>
      </c>
    </row>
    <row r="3" spans="1:14" s="13" customFormat="1" ht="15" customHeight="1">
      <c r="A3" s="17" t="s">
        <v>1123</v>
      </c>
      <c r="B3" s="15"/>
      <c r="C3" s="15"/>
      <c r="D3" s="15"/>
      <c r="E3" s="608" t="str">
        <f>CAUTAU!A99</f>
        <v>Menominee Tribe</v>
      </c>
      <c r="F3" s="608"/>
      <c r="G3" s="167" t="str">
        <f>LOOKUP(E3,Allocations!A4:A92,Allocations!B4:B92)</f>
        <v>X</v>
      </c>
      <c r="H3" s="15"/>
      <c r="I3" s="15"/>
      <c r="J3" s="15"/>
      <c r="K3" s="603" t="s">
        <v>1297</v>
      </c>
      <c r="L3" s="572"/>
      <c r="M3" s="15"/>
      <c r="N3" s="62"/>
    </row>
    <row r="4" spans="1:14" s="13" customFormat="1" ht="15" customHeight="1">
      <c r="A4" s="17" t="s">
        <v>1125</v>
      </c>
      <c r="B4" s="15"/>
      <c r="C4" s="15"/>
      <c r="D4" s="608" t="e">
        <f>LOOKUP(E5,Date,'Addl Info'!B21:B33)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15"/>
      <c r="L5" s="15"/>
      <c r="M5" s="15"/>
      <c r="N5" s="15"/>
    </row>
    <row r="6" spans="1:14" s="13" customFormat="1" ht="15" customHeight="1">
      <c r="A6" s="17" t="s">
        <v>1127</v>
      </c>
      <c r="B6" s="15"/>
      <c r="C6" s="15"/>
      <c r="D6" s="15"/>
      <c r="E6" s="15"/>
      <c r="F6" s="152">
        <v>0</v>
      </c>
      <c r="G6" s="15" t="s">
        <v>1298</v>
      </c>
      <c r="H6" s="15"/>
      <c r="I6" s="15"/>
      <c r="J6" s="15"/>
      <c r="K6" s="15"/>
      <c r="L6" s="15"/>
      <c r="M6" s="15"/>
      <c r="N6" s="15"/>
    </row>
    <row r="7" spans="1:14" ht="15" customHeight="1">
      <c r="A7" s="631"/>
      <c r="B7" s="632"/>
      <c r="C7" s="632"/>
      <c r="D7" s="632"/>
      <c r="E7" s="632"/>
      <c r="F7" s="632"/>
      <c r="G7" s="632"/>
      <c r="H7" s="632"/>
      <c r="I7" s="632"/>
      <c r="J7" s="632"/>
      <c r="K7" s="632"/>
      <c r="L7" s="632"/>
      <c r="M7" s="397"/>
    </row>
    <row r="8" spans="1:14" s="2" customFormat="1" ht="15" customHeight="1" thickBot="1">
      <c r="A8" s="1"/>
      <c r="B8" s="605" t="s">
        <v>1299</v>
      </c>
      <c r="C8" s="605"/>
      <c r="D8" s="605"/>
      <c r="E8" s="605"/>
      <c r="F8" s="605"/>
      <c r="G8" s="605"/>
      <c r="H8" s="605"/>
      <c r="I8" s="605"/>
      <c r="J8" s="605"/>
    </row>
    <row r="9" spans="1:14" ht="77.099999999999994" customHeight="1">
      <c r="A9" s="178" t="s">
        <v>1128</v>
      </c>
      <c r="B9" s="179" t="s">
        <v>1300</v>
      </c>
      <c r="C9" s="202"/>
      <c r="D9" s="179" t="s">
        <v>1131</v>
      </c>
      <c r="E9" s="179" t="s">
        <v>1132</v>
      </c>
      <c r="F9" s="179" t="s">
        <v>1133</v>
      </c>
      <c r="G9" s="180" t="s">
        <v>346</v>
      </c>
      <c r="H9" s="179" t="s">
        <v>1135</v>
      </c>
      <c r="I9" s="179" t="s">
        <v>321</v>
      </c>
      <c r="J9" s="179" t="s">
        <v>325</v>
      </c>
      <c r="K9" s="179" t="s">
        <v>1136</v>
      </c>
      <c r="L9" s="190" t="s">
        <v>1137</v>
      </c>
      <c r="M9" s="154" t="s">
        <v>331</v>
      </c>
    </row>
    <row r="10" spans="1:14" ht="12.9" customHeight="1">
      <c r="A10" s="181" t="s">
        <v>1138</v>
      </c>
      <c r="B10" s="8"/>
      <c r="C10" s="8"/>
      <c r="D10" s="8"/>
      <c r="E10" s="8"/>
      <c r="F10" s="8"/>
      <c r="G10" s="8"/>
      <c r="H10" s="8"/>
      <c r="I10" s="8"/>
      <c r="J10" s="8"/>
      <c r="K10" s="8"/>
      <c r="L10" s="195"/>
      <c r="M10" s="155"/>
      <c r="N10" s="225">
        <f>IFERROR(M10,"x")</f>
        <v>0</v>
      </c>
    </row>
    <row r="11" spans="1:14" ht="12.9" customHeight="1">
      <c r="A11" s="181" t="s">
        <v>1139</v>
      </c>
      <c r="B11" s="8"/>
      <c r="C11" s="8"/>
      <c r="D11" s="8"/>
      <c r="E11" s="8"/>
      <c r="F11" s="8"/>
      <c r="G11" s="8"/>
      <c r="H11" s="8"/>
      <c r="I11" s="8"/>
      <c r="J11" s="8"/>
      <c r="K11" s="8"/>
      <c r="L11" s="195"/>
      <c r="M11" s="155"/>
      <c r="N11" s="225">
        <f t="shared" ref="N11:N35" si="0">IFERROR(M11,"x")</f>
        <v>0</v>
      </c>
    </row>
    <row r="12" spans="1:14" ht="12.9" customHeight="1">
      <c r="A12" s="181" t="s">
        <v>1140</v>
      </c>
      <c r="B12" s="8"/>
      <c r="C12" s="8"/>
      <c r="D12" s="8"/>
      <c r="E12" s="8"/>
      <c r="F12" s="8"/>
      <c r="G12" s="8"/>
      <c r="H12" s="8"/>
      <c r="I12" s="8"/>
      <c r="J12" s="8"/>
      <c r="K12" s="8"/>
      <c r="L12" s="195"/>
      <c r="M12" s="155"/>
      <c r="N12" s="225">
        <f t="shared" si="0"/>
        <v>0</v>
      </c>
    </row>
    <row r="13" spans="1:14" ht="12.9" customHeight="1">
      <c r="A13" s="181" t="s">
        <v>1141</v>
      </c>
      <c r="B13" s="8"/>
      <c r="C13" s="8"/>
      <c r="D13" s="8"/>
      <c r="E13" s="8"/>
      <c r="F13" s="8"/>
      <c r="G13" s="8"/>
      <c r="H13" s="8"/>
      <c r="I13" s="8"/>
      <c r="J13" s="8"/>
      <c r="K13" s="8"/>
      <c r="L13" s="195"/>
      <c r="M13" s="155"/>
      <c r="N13" s="225">
        <f t="shared" si="0"/>
        <v>0</v>
      </c>
    </row>
    <row r="14" spans="1:14" ht="12.9" customHeight="1">
      <c r="A14" s="181" t="s">
        <v>1142</v>
      </c>
      <c r="B14" s="8"/>
      <c r="C14" s="8"/>
      <c r="D14" s="8"/>
      <c r="E14" s="8"/>
      <c r="F14" s="8"/>
      <c r="G14" s="8"/>
      <c r="H14" s="8"/>
      <c r="I14" s="8"/>
      <c r="J14" s="8"/>
      <c r="K14" s="8"/>
      <c r="L14" s="195"/>
      <c r="M14" s="155"/>
      <c r="N14" s="225">
        <f t="shared" si="0"/>
        <v>0</v>
      </c>
    </row>
    <row r="15" spans="1:14" ht="12.9" customHeight="1">
      <c r="A15" s="181" t="s">
        <v>1143</v>
      </c>
      <c r="B15" s="8"/>
      <c r="C15" s="8"/>
      <c r="D15" s="8"/>
      <c r="E15" s="8"/>
      <c r="F15" s="8"/>
      <c r="G15" s="8"/>
      <c r="H15" s="8"/>
      <c r="I15" s="8"/>
      <c r="J15" s="8"/>
      <c r="K15" s="8"/>
      <c r="L15" s="195"/>
      <c r="M15" s="155"/>
      <c r="N15" s="225">
        <f t="shared" si="0"/>
        <v>0</v>
      </c>
    </row>
    <row r="16" spans="1:14" ht="12.9" customHeight="1">
      <c r="A16" s="181" t="s">
        <v>1144</v>
      </c>
      <c r="B16" s="8"/>
      <c r="C16" s="8"/>
      <c r="D16" s="8"/>
      <c r="E16" s="8"/>
      <c r="F16" s="8"/>
      <c r="G16" s="8"/>
      <c r="H16" s="8"/>
      <c r="I16" s="8"/>
      <c r="J16" s="8"/>
      <c r="K16" s="8"/>
      <c r="L16" s="195"/>
      <c r="M16" s="155"/>
      <c r="N16" s="225">
        <f t="shared" si="0"/>
        <v>0</v>
      </c>
    </row>
    <row r="17" spans="1:14" ht="12.9" customHeight="1">
      <c r="A17" s="181" t="s">
        <v>1145</v>
      </c>
      <c r="B17" s="8"/>
      <c r="C17" s="8"/>
      <c r="D17" s="8"/>
      <c r="E17" s="8"/>
      <c r="F17" s="8"/>
      <c r="G17" s="8"/>
      <c r="H17" s="8"/>
      <c r="I17" s="8"/>
      <c r="J17" s="8"/>
      <c r="K17" s="8"/>
      <c r="L17" s="195"/>
      <c r="M17" s="155"/>
      <c r="N17" s="225">
        <f t="shared" si="0"/>
        <v>0</v>
      </c>
    </row>
    <row r="18" spans="1:14" ht="12.9" customHeight="1">
      <c r="A18" s="181" t="s">
        <v>1146</v>
      </c>
      <c r="B18" s="8"/>
      <c r="C18" s="8"/>
      <c r="D18" s="8"/>
      <c r="E18" s="8"/>
      <c r="F18" s="8"/>
      <c r="G18" s="8"/>
      <c r="H18" s="8"/>
      <c r="I18" s="8"/>
      <c r="J18" s="8"/>
      <c r="K18" s="8"/>
      <c r="L18" s="195"/>
      <c r="M18" s="155"/>
      <c r="N18" s="225">
        <f t="shared" si="0"/>
        <v>0</v>
      </c>
    </row>
    <row r="19" spans="1:14" ht="12.9" customHeight="1">
      <c r="A19" s="181" t="s">
        <v>1194</v>
      </c>
      <c r="B19" s="8"/>
      <c r="C19" s="8"/>
      <c r="D19" s="8"/>
      <c r="E19" s="8"/>
      <c r="F19" s="8"/>
      <c r="G19" s="8"/>
      <c r="H19" s="8"/>
      <c r="I19" s="8"/>
      <c r="J19" s="8"/>
      <c r="K19" s="8"/>
      <c r="L19" s="195"/>
      <c r="M19" s="155"/>
      <c r="N19" s="225">
        <f t="shared" si="0"/>
        <v>0</v>
      </c>
    </row>
    <row r="20" spans="1:14" ht="12.9" customHeight="1">
      <c r="A20" s="181" t="s">
        <v>1195</v>
      </c>
      <c r="B20" s="8"/>
      <c r="C20" s="8"/>
      <c r="D20" s="8"/>
      <c r="E20" s="8"/>
      <c r="F20" s="8"/>
      <c r="G20" s="8"/>
      <c r="H20" s="8"/>
      <c r="I20" s="8"/>
      <c r="J20" s="8"/>
      <c r="K20" s="8"/>
      <c r="L20" s="195"/>
      <c r="M20" s="155"/>
      <c r="N20" s="225">
        <f t="shared" si="0"/>
        <v>0</v>
      </c>
    </row>
    <row r="21" spans="1:14" ht="12.9" customHeight="1">
      <c r="A21" s="181" t="s">
        <v>1149</v>
      </c>
      <c r="B21" s="3"/>
      <c r="C21" s="8"/>
      <c r="D21" s="157"/>
      <c r="E21" s="3"/>
      <c r="F21" s="3"/>
      <c r="G21" s="3"/>
      <c r="H21" s="3"/>
      <c r="I21" s="3"/>
      <c r="J21" s="3"/>
      <c r="K21" s="3"/>
      <c r="L21" s="177"/>
      <c r="M21" s="170">
        <f>C21+D21+E21+F21+G21+H21+I21+J21+K21+L21-K21-I21</f>
        <v>0</v>
      </c>
      <c r="N21" s="225">
        <f t="shared" si="0"/>
        <v>0</v>
      </c>
    </row>
    <row r="22" spans="1:14" ht="12.9" customHeight="1">
      <c r="A22" s="181" t="s">
        <v>1150</v>
      </c>
      <c r="B22" s="8"/>
      <c r="C22" s="8"/>
      <c r="D22" s="8"/>
      <c r="E22" s="8"/>
      <c r="F22" s="8"/>
      <c r="G22" s="8"/>
      <c r="H22" s="8"/>
      <c r="I22" s="8"/>
      <c r="J22" s="8"/>
      <c r="K22" s="8"/>
      <c r="L22" s="195"/>
      <c r="M22" s="155"/>
      <c r="N22" s="225">
        <f t="shared" si="0"/>
        <v>0</v>
      </c>
    </row>
    <row r="23" spans="1:14" ht="12.9" customHeight="1">
      <c r="A23" s="181" t="s">
        <v>1151</v>
      </c>
      <c r="B23" s="8"/>
      <c r="C23" s="8"/>
      <c r="D23" s="8"/>
      <c r="E23" s="8"/>
      <c r="F23" s="8"/>
      <c r="G23" s="8"/>
      <c r="H23" s="8"/>
      <c r="I23" s="8"/>
      <c r="J23" s="8"/>
      <c r="K23" s="8"/>
      <c r="L23" s="195"/>
      <c r="M23" s="155"/>
      <c r="N23" s="225">
        <f t="shared" si="0"/>
        <v>0</v>
      </c>
    </row>
    <row r="24" spans="1:14" ht="12.9" customHeight="1">
      <c r="A24" s="181" t="s">
        <v>1152</v>
      </c>
      <c r="B24" s="8"/>
      <c r="C24" s="8"/>
      <c r="D24" s="8"/>
      <c r="E24" s="8"/>
      <c r="F24" s="8"/>
      <c r="G24" s="8"/>
      <c r="H24" s="8"/>
      <c r="I24" s="8"/>
      <c r="J24" s="8"/>
      <c r="K24" s="8"/>
      <c r="L24" s="195"/>
      <c r="M24" s="155"/>
      <c r="N24" s="225">
        <f t="shared" si="0"/>
        <v>0</v>
      </c>
    </row>
    <row r="25" spans="1:14" ht="12.9" customHeight="1">
      <c r="A25" s="191" t="s">
        <v>1196</v>
      </c>
      <c r="B25" s="8"/>
      <c r="C25" s="8"/>
      <c r="D25" s="8"/>
      <c r="E25" s="8"/>
      <c r="F25" s="8"/>
      <c r="G25" s="8"/>
      <c r="H25" s="8"/>
      <c r="I25" s="8"/>
      <c r="J25" s="8"/>
      <c r="K25" s="8"/>
      <c r="L25" s="195"/>
      <c r="M25" s="155"/>
      <c r="N25" s="225">
        <f t="shared" si="0"/>
        <v>0</v>
      </c>
    </row>
    <row r="26" spans="1:14" ht="12.9" customHeight="1">
      <c r="A26" s="181" t="s">
        <v>1197</v>
      </c>
      <c r="B26" s="8"/>
      <c r="C26" s="8"/>
      <c r="D26" s="8"/>
      <c r="E26" s="8"/>
      <c r="F26" s="8"/>
      <c r="G26" s="8"/>
      <c r="H26" s="8"/>
      <c r="I26" s="8"/>
      <c r="J26" s="8"/>
      <c r="K26" s="8"/>
      <c r="L26" s="195"/>
      <c r="M26" s="155"/>
      <c r="N26" s="225">
        <f t="shared" si="0"/>
        <v>0</v>
      </c>
    </row>
    <row r="27" spans="1:14" ht="12.9" customHeight="1">
      <c r="A27" s="181"/>
      <c r="B27" s="8"/>
      <c r="C27" s="8"/>
      <c r="D27" s="8"/>
      <c r="E27" s="8"/>
      <c r="F27" s="8"/>
      <c r="G27" s="8"/>
      <c r="H27" s="8"/>
      <c r="I27" s="8"/>
      <c r="J27" s="8"/>
      <c r="K27" s="8"/>
      <c r="L27" s="195"/>
      <c r="M27" s="155"/>
      <c r="N27" s="225">
        <f t="shared" si="0"/>
        <v>0</v>
      </c>
    </row>
    <row r="28" spans="1:14" ht="12.9" customHeight="1">
      <c r="A28" s="181"/>
      <c r="B28" s="8"/>
      <c r="C28" s="8"/>
      <c r="D28" s="8"/>
      <c r="E28" s="8"/>
      <c r="F28" s="8"/>
      <c r="G28" s="8"/>
      <c r="H28" s="8"/>
      <c r="I28" s="8"/>
      <c r="J28" s="8"/>
      <c r="K28" s="8"/>
      <c r="L28" s="195"/>
      <c r="M28" s="155"/>
      <c r="N28" s="225">
        <f t="shared" si="0"/>
        <v>0</v>
      </c>
    </row>
    <row r="29" spans="1:14" ht="12.9" customHeight="1">
      <c r="A29" s="181"/>
      <c r="B29" s="8"/>
      <c r="C29" s="8"/>
      <c r="D29" s="8"/>
      <c r="E29" s="8"/>
      <c r="F29" s="8"/>
      <c r="G29" s="8"/>
      <c r="H29" s="8"/>
      <c r="I29" s="8"/>
      <c r="J29" s="8"/>
      <c r="K29" s="8"/>
      <c r="L29" s="195"/>
      <c r="M29" s="155"/>
      <c r="N29" s="225">
        <f t="shared" si="0"/>
        <v>0</v>
      </c>
    </row>
    <row r="30" spans="1:14" ht="12.9" customHeight="1">
      <c r="A30" s="181"/>
      <c r="B30" s="8"/>
      <c r="C30" s="8"/>
      <c r="D30" s="8"/>
      <c r="E30" s="8"/>
      <c r="F30" s="8"/>
      <c r="G30" s="8"/>
      <c r="H30" s="8"/>
      <c r="I30" s="8"/>
      <c r="J30" s="8"/>
      <c r="K30" s="8"/>
      <c r="L30" s="195"/>
      <c r="M30" s="155"/>
      <c r="N30" s="225">
        <f t="shared" si="0"/>
        <v>0</v>
      </c>
    </row>
    <row r="31" spans="1:14" ht="12.9" customHeight="1">
      <c r="A31" s="181"/>
      <c r="B31" s="8"/>
      <c r="C31" s="8"/>
      <c r="D31" s="8"/>
      <c r="E31" s="8"/>
      <c r="F31" s="8"/>
      <c r="G31" s="8"/>
      <c r="H31" s="8"/>
      <c r="I31" s="8"/>
      <c r="J31" s="8"/>
      <c r="K31" s="8"/>
      <c r="L31" s="195"/>
      <c r="M31" s="155"/>
      <c r="N31" s="225">
        <f t="shared" si="0"/>
        <v>0</v>
      </c>
    </row>
    <row r="32" spans="1:14" ht="12.9" customHeight="1">
      <c r="A32" s="181"/>
      <c r="B32" s="8"/>
      <c r="C32" s="8"/>
      <c r="D32" s="8"/>
      <c r="E32" s="8"/>
      <c r="F32" s="8"/>
      <c r="G32" s="8"/>
      <c r="H32" s="8"/>
      <c r="I32" s="8"/>
      <c r="J32" s="8"/>
      <c r="K32" s="8"/>
      <c r="L32" s="195"/>
      <c r="M32" s="155"/>
      <c r="N32" s="225">
        <f t="shared" si="0"/>
        <v>0</v>
      </c>
    </row>
    <row r="33" spans="1:14" ht="12.9" customHeight="1">
      <c r="A33" s="181"/>
      <c r="B33" s="8"/>
      <c r="C33" s="8"/>
      <c r="D33" s="8"/>
      <c r="E33" s="8"/>
      <c r="F33" s="8"/>
      <c r="G33" s="8"/>
      <c r="H33" s="8"/>
      <c r="I33" s="8"/>
      <c r="J33" s="8"/>
      <c r="K33" s="8"/>
      <c r="L33" s="195"/>
      <c r="M33" s="155"/>
      <c r="N33" s="225">
        <f t="shared" si="0"/>
        <v>0</v>
      </c>
    </row>
    <row r="34" spans="1:14" s="15" customFormat="1" ht="12.9" customHeight="1" thickBot="1">
      <c r="A34" s="192"/>
      <c r="B34" s="228">
        <f>SUM(B10:B33)</f>
        <v>0</v>
      </c>
      <c r="C34" s="228">
        <f t="shared" ref="C34:L34" si="1">SUM(C10:C33)</f>
        <v>0</v>
      </c>
      <c r="D34" s="228">
        <f t="shared" si="1"/>
        <v>0</v>
      </c>
      <c r="E34" s="228">
        <f t="shared" si="1"/>
        <v>0</v>
      </c>
      <c r="F34" s="228">
        <f t="shared" si="1"/>
        <v>0</v>
      </c>
      <c r="G34" s="228">
        <f t="shared" si="1"/>
        <v>0</v>
      </c>
      <c r="H34" s="228">
        <f t="shared" si="1"/>
        <v>0</v>
      </c>
      <c r="I34" s="228">
        <f t="shared" si="1"/>
        <v>0</v>
      </c>
      <c r="J34" s="228">
        <f t="shared" si="1"/>
        <v>0</v>
      </c>
      <c r="K34" s="228">
        <f t="shared" si="1"/>
        <v>0</v>
      </c>
      <c r="L34" s="228">
        <f t="shared" si="1"/>
        <v>0</v>
      </c>
      <c r="M34" s="229">
        <f>SUM(M10:M30)</f>
        <v>0</v>
      </c>
      <c r="N34" s="225">
        <f t="shared" si="0"/>
        <v>0</v>
      </c>
    </row>
    <row r="35" spans="1:14" s="15" customFormat="1" ht="12.9" customHeight="1" thickTop="1" thickBot="1">
      <c r="A35" s="193" t="s">
        <v>210</v>
      </c>
      <c r="B35" s="194">
        <f>B10+B11+B12+B13+B14+B15+B16+B17+B18+B19+B20+B21+B22+B23+B24+B25+B26+B27+B28+B29+B30</f>
        <v>0</v>
      </c>
      <c r="C35" s="194">
        <f t="shared" ref="C35:L35" si="2">C10+C11+C12+C13+C14+C15+C16+C17+C18+C19+C20+C21+C22+C23+C24+C25+C26+C27+C28+C29+C30</f>
        <v>0</v>
      </c>
      <c r="D35" s="194">
        <f t="shared" si="2"/>
        <v>0</v>
      </c>
      <c r="E35" s="194">
        <f t="shared" si="2"/>
        <v>0</v>
      </c>
      <c r="F35" s="194">
        <f t="shared" si="2"/>
        <v>0</v>
      </c>
      <c r="G35" s="194">
        <f t="shared" si="2"/>
        <v>0</v>
      </c>
      <c r="H35" s="194">
        <f t="shared" si="2"/>
        <v>0</v>
      </c>
      <c r="I35" s="194">
        <f t="shared" si="2"/>
        <v>0</v>
      </c>
      <c r="J35" s="194">
        <f t="shared" si="2"/>
        <v>0</v>
      </c>
      <c r="K35" s="194">
        <f t="shared" si="2"/>
        <v>0</v>
      </c>
      <c r="L35" s="194">
        <f t="shared" si="2"/>
        <v>0</v>
      </c>
      <c r="M35" s="186">
        <f>C35+D35+E35+F35+G35+H35+I35+J35+K35+L35-I35-K35</f>
        <v>0</v>
      </c>
      <c r="N35" s="225">
        <f t="shared" si="0"/>
        <v>0</v>
      </c>
    </row>
    <row r="36" spans="1:14" s="15" customFormat="1" ht="12.9" customHeight="1">
      <c r="A36" s="17" t="str">
        <f>IF(M36="x","Enter in whole dollars.","")</f>
        <v/>
      </c>
      <c r="B36" s="171" t="str">
        <f>IF(MOD(B34,1)=0,"","Error")</f>
        <v/>
      </c>
      <c r="C36" s="171" t="str">
        <f t="shared" ref="C36:L36" si="3">IF(MOD(C34,1)=0,"","Error")</f>
        <v/>
      </c>
      <c r="D36" s="171" t="str">
        <f t="shared" si="3"/>
        <v/>
      </c>
      <c r="E36" s="171" t="str">
        <f t="shared" si="3"/>
        <v/>
      </c>
      <c r="F36" s="171" t="str">
        <f t="shared" si="3"/>
        <v/>
      </c>
      <c r="G36" s="171" t="str">
        <f t="shared" si="3"/>
        <v/>
      </c>
      <c r="H36" s="171" t="str">
        <f t="shared" si="3"/>
        <v/>
      </c>
      <c r="I36" s="171" t="str">
        <f t="shared" si="3"/>
        <v/>
      </c>
      <c r="J36" s="171" t="str">
        <f t="shared" si="3"/>
        <v/>
      </c>
      <c r="K36" s="171" t="str">
        <f t="shared" si="3"/>
        <v/>
      </c>
      <c r="L36" s="171" t="str">
        <f t="shared" si="3"/>
        <v/>
      </c>
      <c r="M36" s="226" t="str">
        <f>IF(ISERROR(MATCH("error",B36:L36,0)),"","x")</f>
        <v/>
      </c>
      <c r="N36" s="226" t="str">
        <f>IF(ISERROR(MATCH("x",N10:N35,0)),"","x")</f>
        <v/>
      </c>
    </row>
    <row r="37" spans="1:14" s="15" customFormat="1" ht="12.9" customHeight="1">
      <c r="B37" s="225">
        <f>IFERROR(B35,"x")</f>
        <v>0</v>
      </c>
      <c r="C37" s="225">
        <f t="shared" ref="C37:L37" si="4">IFERROR(C35,"x")</f>
        <v>0</v>
      </c>
      <c r="D37" s="225">
        <f t="shared" si="4"/>
        <v>0</v>
      </c>
      <c r="E37" s="225">
        <f t="shared" si="4"/>
        <v>0</v>
      </c>
      <c r="F37" s="225">
        <f t="shared" si="4"/>
        <v>0</v>
      </c>
      <c r="G37" s="225">
        <f t="shared" si="4"/>
        <v>0</v>
      </c>
      <c r="H37" s="225">
        <f t="shared" si="4"/>
        <v>0</v>
      </c>
      <c r="I37" s="225">
        <f t="shared" si="4"/>
        <v>0</v>
      </c>
      <c r="J37" s="225">
        <f t="shared" si="4"/>
        <v>0</v>
      </c>
      <c r="K37" s="225">
        <f t="shared" si="4"/>
        <v>0</v>
      </c>
      <c r="L37" s="225">
        <f t="shared" si="4"/>
        <v>0</v>
      </c>
      <c r="N37" s="226" t="str">
        <f>IF(ISERROR(MATCH("x",B37:L37,0)),"","x")</f>
        <v/>
      </c>
    </row>
    <row r="38" spans="1:14" ht="12.9" customHeight="1">
      <c r="A38" s="397"/>
      <c r="B38" s="12"/>
      <c r="C38" s="12"/>
      <c r="D38" s="12"/>
      <c r="E38" s="12"/>
      <c r="F38" s="12"/>
      <c r="G38" s="12"/>
      <c r="H38" s="12"/>
      <c r="I38" s="12"/>
      <c r="J38" s="12"/>
      <c r="K38" s="12"/>
      <c r="L38" s="12"/>
      <c r="M38" s="62"/>
    </row>
    <row r="39" spans="1:14" ht="12.9" customHeight="1">
      <c r="A39" s="397"/>
      <c r="B39" s="12"/>
      <c r="C39" s="12"/>
      <c r="D39" s="12"/>
      <c r="E39" s="12"/>
      <c r="F39" s="12"/>
      <c r="G39" s="12"/>
      <c r="H39" s="12"/>
      <c r="I39" s="12"/>
      <c r="J39" s="12"/>
      <c r="K39" s="12"/>
      <c r="L39" s="12"/>
      <c r="M39" s="62"/>
    </row>
    <row r="40" spans="1:14" ht="12.9" customHeight="1">
      <c r="A40" s="397"/>
      <c r="B40" s="12"/>
      <c r="C40" s="12"/>
      <c r="D40" s="12"/>
      <c r="E40" s="12"/>
      <c r="F40" s="12"/>
      <c r="G40" s="12"/>
      <c r="H40" s="12"/>
      <c r="I40" s="12"/>
      <c r="J40" s="12"/>
      <c r="K40" s="12"/>
      <c r="L40" s="12"/>
      <c r="M40" s="62"/>
    </row>
    <row r="41" spans="1:14" ht="12.9" customHeight="1">
      <c r="A41" s="397"/>
      <c r="B41" s="12"/>
      <c r="C41" s="12"/>
      <c r="D41" s="12"/>
      <c r="E41" s="12"/>
      <c r="F41" s="12"/>
      <c r="G41" s="12"/>
      <c r="H41" s="12"/>
      <c r="I41" s="12"/>
      <c r="J41" s="12"/>
      <c r="K41" s="12"/>
      <c r="L41" s="12"/>
      <c r="M41" s="62"/>
    </row>
    <row r="42" spans="1:14" ht="12.9" customHeight="1">
      <c r="A42" s="397"/>
      <c r="B42" s="12"/>
      <c r="C42" s="12"/>
      <c r="D42" s="12"/>
      <c r="E42" s="12"/>
      <c r="F42" s="12"/>
      <c r="G42" s="12"/>
      <c r="H42" s="12"/>
      <c r="I42" s="12"/>
      <c r="J42" s="12"/>
      <c r="K42" s="12"/>
      <c r="L42" s="12"/>
      <c r="M42" s="168"/>
    </row>
    <row r="43" spans="1:14" ht="12.9" customHeight="1">
      <c r="A43" s="15" t="s">
        <v>1161</v>
      </c>
      <c r="B43" s="147">
        <f>(F6-G34)</f>
        <v>0</v>
      </c>
      <c r="C43" s="610" t="str">
        <f>IF(F6-G34&lt;0,"Not Ok - You are over budget on expenditures.","")</f>
        <v/>
      </c>
      <c r="D43" s="611"/>
      <c r="E43" s="611"/>
      <c r="F43" s="574"/>
      <c r="G43" s="15"/>
      <c r="H43" s="15"/>
      <c r="I43" s="15"/>
      <c r="J43" s="15"/>
      <c r="K43" s="15"/>
      <c r="L43" s="15"/>
      <c r="M43" s="168" t="str">
        <f>IF(F6-G34&lt;0,"X","")</f>
        <v/>
      </c>
      <c r="N43" s="166"/>
    </row>
    <row r="44" spans="1:14" ht="12.9" customHeight="1">
      <c r="A44" s="15"/>
      <c r="B44" s="159"/>
      <c r="C44" s="601"/>
      <c r="D44" s="601"/>
      <c r="E44" s="601"/>
      <c r="F44" s="601"/>
      <c r="G44" s="601"/>
      <c r="H44" s="601"/>
      <c r="I44" s="601"/>
      <c r="J44" s="601"/>
      <c r="K44" s="601"/>
      <c r="L44" s="601"/>
      <c r="M44" s="167"/>
      <c r="N44" s="17"/>
    </row>
    <row r="45" spans="1:14" ht="12.9" customHeight="1">
      <c r="A45" s="15"/>
      <c r="B45" s="159"/>
      <c r="C45" s="601"/>
      <c r="D45" s="602"/>
      <c r="E45" s="602"/>
      <c r="F45" s="602"/>
      <c r="G45" s="602"/>
      <c r="H45" s="602"/>
      <c r="I45" s="602"/>
      <c r="J45" s="15"/>
      <c r="K45" s="15"/>
      <c r="L45" s="15"/>
      <c r="M45" s="167"/>
    </row>
    <row r="46" spans="1:14" ht="12.9" customHeight="1">
      <c r="A46" s="15"/>
      <c r="B46" s="159"/>
      <c r="C46" s="601"/>
      <c r="D46" s="601"/>
      <c r="E46" s="601"/>
      <c r="F46" s="601"/>
      <c r="G46" s="601"/>
      <c r="H46" s="601"/>
      <c r="I46" s="601"/>
      <c r="J46" s="601"/>
      <c r="K46" s="601"/>
      <c r="L46" s="601"/>
      <c r="M46" s="167"/>
      <c r="N46" s="17"/>
    </row>
    <row r="47" spans="1:14" ht="12.9" customHeight="1">
      <c r="A47" s="15" t="s">
        <v>1165</v>
      </c>
      <c r="B47" s="147">
        <f>SUM(D34:E34)</f>
        <v>0</v>
      </c>
      <c r="C47" s="601" t="str">
        <f>IF(G5&lt;&gt;"x","",IF(B47&gt;=SUM(G34/9),"Ok - Minimum Match Met","Not Ok - Your Cash Match and/or In-Kind Match does not meet the Mimimum Match requirement."))</f>
        <v/>
      </c>
      <c r="D47" s="602"/>
      <c r="E47" s="602"/>
      <c r="F47" s="602"/>
      <c r="G47" s="602"/>
      <c r="H47" s="602"/>
      <c r="I47" s="602"/>
      <c r="J47" s="15"/>
      <c r="K47" s="15"/>
      <c r="L47" s="15"/>
      <c r="M47" s="167" t="str">
        <f>IF(AND(G34&gt;0,B47=0),"x",IF(B47&lt;SUM(G34/9),"X",""))</f>
        <v/>
      </c>
    </row>
    <row r="48" spans="1:14" ht="12.9" customHeight="1">
      <c r="A48" s="15" t="s">
        <v>1166</v>
      </c>
      <c r="B48" s="217">
        <f>(ROUNDUP(G34/9,0))</f>
        <v>0</v>
      </c>
      <c r="C48" s="15" t="s">
        <v>1167</v>
      </c>
      <c r="D48" s="15"/>
      <c r="E48" s="15"/>
      <c r="F48" s="15"/>
      <c r="G48" s="15"/>
      <c r="H48" s="15"/>
      <c r="I48" s="15"/>
      <c r="J48" s="15"/>
      <c r="K48" s="15"/>
      <c r="L48" s="15"/>
      <c r="M48" s="62"/>
    </row>
    <row r="49" spans="1:18" ht="12.9" customHeight="1">
      <c r="A49" s="15"/>
      <c r="B49" s="147"/>
      <c r="C49" s="15"/>
      <c r="D49" s="15"/>
      <c r="E49" s="15"/>
      <c r="F49" s="15"/>
      <c r="G49" s="15"/>
      <c r="H49" s="15"/>
      <c r="I49" s="15"/>
      <c r="J49" s="15"/>
      <c r="K49" s="15"/>
      <c r="L49" s="15"/>
      <c r="M49" s="62"/>
      <c r="O49" s="397"/>
      <c r="P49" s="397"/>
      <c r="Q49" s="397"/>
      <c r="R49" s="397"/>
    </row>
    <row r="50" spans="1:18" s="15" customFormat="1" ht="12.9" customHeight="1">
      <c r="A50" s="15" t="str">
        <f>IF(B50="X","Program Income Carryover","")</f>
        <v/>
      </c>
      <c r="B50" s="227" t="str">
        <f>IF(K34&gt;L34,"X","")</f>
        <v/>
      </c>
      <c r="C50" s="600" t="str">
        <f>IF(B50="x","You cannot claim against this contract until all prior year program income has been expended.","")</f>
        <v/>
      </c>
      <c r="D50" s="574"/>
      <c r="E50" s="574"/>
      <c r="F50" s="574"/>
      <c r="G50" s="574"/>
      <c r="H50" s="574"/>
      <c r="I50" s="574"/>
      <c r="M50" s="167" t="str">
        <f>IF(B50="x","X","")</f>
        <v/>
      </c>
      <c r="N50" s="146"/>
      <c r="O50" s="146"/>
      <c r="P50" s="146"/>
      <c r="Q50" s="146"/>
      <c r="R50" s="146"/>
    </row>
    <row r="51" spans="1:18" s="15" customFormat="1" ht="12.9" customHeight="1">
      <c r="A51" s="15" t="e">
        <f>IF(B51="x","Non-Submission Period","")</f>
        <v>#N/A</v>
      </c>
      <c r="B51" s="227" t="e">
        <f>IF(D4="Non-Submission Period","X","")</f>
        <v>#N/A</v>
      </c>
      <c r="C51" s="600" t="e">
        <f>IF(B51="x","You cannot claim against this contract as this is a Non-Submission Period for the contract.","")</f>
        <v>#N/A</v>
      </c>
      <c r="D51" s="574"/>
      <c r="E51" s="574"/>
      <c r="F51" s="574"/>
      <c r="G51" s="574"/>
      <c r="H51" s="574"/>
      <c r="I51" s="574"/>
      <c r="M51" s="167" t="e">
        <f>IF(B51="x","X","")</f>
        <v>#N/A</v>
      </c>
    </row>
    <row r="52" spans="1:18" s="15" customFormat="1" ht="12.9" customHeight="1">
      <c r="A52" s="15" t="str">
        <f>IF(OR(N37="x",N36="x"),"Cell Error","")</f>
        <v/>
      </c>
      <c r="B52" s="156" t="str">
        <f>IF(OR(N37="x",N36="x"),"X","")</f>
        <v/>
      </c>
      <c r="C52" s="601" t="str">
        <f>IF(OR(N37="x",N36="x"),"Double check your columns for '#VALUE!' - this indicates an error on that line item.","")</f>
        <v/>
      </c>
      <c r="D52" s="601"/>
      <c r="E52" s="601"/>
      <c r="F52" s="601"/>
      <c r="G52" s="601"/>
      <c r="H52" s="601"/>
      <c r="I52" s="601"/>
      <c r="J52" s="574"/>
      <c r="M52" s="167" t="str">
        <f>IF(B52="x","X","")</f>
        <v/>
      </c>
    </row>
    <row r="53" spans="1:18" ht="12.9" customHeight="1">
      <c r="A53" s="15"/>
      <c r="B53" s="15"/>
      <c r="C53" s="15"/>
      <c r="D53" s="15"/>
      <c r="E53" s="15"/>
      <c r="F53" s="15"/>
      <c r="G53" s="15"/>
      <c r="H53" s="15"/>
      <c r="I53" s="15"/>
      <c r="J53" s="15"/>
      <c r="K53" s="15"/>
      <c r="L53" s="15"/>
      <c r="M53" s="15"/>
      <c r="O53" s="397"/>
      <c r="P53" s="397"/>
      <c r="Q53" s="397"/>
      <c r="R53" s="397"/>
    </row>
    <row r="54" spans="1:18" ht="12.9" customHeight="1">
      <c r="A54" s="15"/>
      <c r="B54" s="15"/>
      <c r="C54" s="15"/>
      <c r="D54" s="15"/>
      <c r="E54" s="15"/>
      <c r="F54" s="15"/>
      <c r="G54" s="15"/>
      <c r="H54" s="15"/>
      <c r="I54" s="15"/>
      <c r="J54" s="15"/>
      <c r="K54" s="15"/>
      <c r="L54" s="15"/>
      <c r="M54" s="15"/>
      <c r="O54" s="397"/>
      <c r="P54" s="397"/>
      <c r="Q54" s="397"/>
      <c r="R54" s="397"/>
    </row>
    <row r="55" spans="1:18" ht="12.9" customHeight="1">
      <c r="A55" s="15"/>
      <c r="B55" s="15"/>
      <c r="C55" s="15"/>
      <c r="D55" s="15"/>
      <c r="E55" s="15"/>
      <c r="F55" s="15"/>
      <c r="G55" s="15"/>
      <c r="H55" s="15"/>
      <c r="I55" s="15"/>
      <c r="J55" s="15"/>
      <c r="K55" s="15"/>
      <c r="L55" s="15"/>
      <c r="M55" s="15"/>
      <c r="O55" s="397"/>
      <c r="P55" s="397"/>
      <c r="Q55" s="397"/>
      <c r="R55" s="397"/>
    </row>
    <row r="56" spans="1:18" ht="12.9" customHeight="1">
      <c r="A56" s="397"/>
      <c r="B56" s="397"/>
      <c r="C56" s="397"/>
      <c r="D56" s="397"/>
      <c r="E56" s="397"/>
      <c r="F56" s="397"/>
      <c r="G56" s="397"/>
      <c r="H56" s="397"/>
      <c r="I56" s="397"/>
      <c r="J56" s="397"/>
      <c r="K56" s="397"/>
      <c r="L56" s="397"/>
      <c r="M56" s="397"/>
      <c r="O56" s="397"/>
      <c r="P56" s="397"/>
      <c r="Q56" s="397"/>
      <c r="R56" s="397"/>
    </row>
  </sheetData>
  <sheetProtection algorithmName="SHA-512" hashValue="pLJ8Z5nBTkgcbzKyoD9rsPx5g+ATQVvoGcCZHXuh2Zb33pR2+cK3qnd6fpQRMWXXFYCwRiJ0GZwJg56NMC0Zvg==" saltValue="Y5t9zBfk+ETMgR5g8wdutA==" spinCount="100000" sheet="1"/>
  <customSheetViews>
    <customSheetView guid="{89953FCB-456A-4C2D-8912-B30825F750D3}" fitToPage="1" state="hidden">
      <selection activeCell="B24" sqref="B24"/>
      <pageMargins left="0" right="0" top="0" bottom="0" header="0" footer="0"/>
      <printOptions horizontalCentered="1"/>
      <pageSetup scale="70" orientation="landscape" horizontalDpi="300" verticalDpi="300" r:id="rId1"/>
      <headerFooter alignWithMargins="0">
        <oddFooter>&amp;R&amp;8&amp;Z&amp;F</oddFooter>
      </headerFooter>
    </customSheetView>
  </customSheetViews>
  <mergeCells count="18">
    <mergeCell ref="C43:F43"/>
    <mergeCell ref="K3:L3"/>
    <mergeCell ref="B8:J8"/>
    <mergeCell ref="K1:L1"/>
    <mergeCell ref="K2:L2"/>
    <mergeCell ref="E3:F3"/>
    <mergeCell ref="D4:F4"/>
    <mergeCell ref="E5:F5"/>
    <mergeCell ref="A7:L7"/>
    <mergeCell ref="A1:C1"/>
    <mergeCell ref="A2:B2"/>
    <mergeCell ref="C52:J52"/>
    <mergeCell ref="C51:I51"/>
    <mergeCell ref="C44:L44"/>
    <mergeCell ref="C45:I45"/>
    <mergeCell ref="C46:L46"/>
    <mergeCell ref="C47:I47"/>
    <mergeCell ref="C50:I50"/>
  </mergeCells>
  <phoneticPr fontId="4" type="noConversion"/>
  <conditionalFormatting sqref="G3">
    <cfRule type="containsText" dxfId="462" priority="59" stopIfTrue="1" operator="containsText" text="Not Ok">
      <formula>NOT(ISERROR(SEARCH("Not Ok",G3)))</formula>
    </cfRule>
    <cfRule type="containsText" dxfId="461" priority="60" stopIfTrue="1" operator="containsText" text="Not Ok">
      <formula>NOT(ISERROR(SEARCH("Not Ok",G3)))</formula>
    </cfRule>
  </conditionalFormatting>
  <conditionalFormatting sqref="G3">
    <cfRule type="containsText" dxfId="460" priority="58" stopIfTrue="1" operator="containsText" text="Not Ok">
      <formula>NOT(ISERROR(SEARCH("Not Ok",G3)))</formula>
    </cfRule>
  </conditionalFormatting>
  <conditionalFormatting sqref="B38:B41">
    <cfRule type="cellIs" dxfId="459" priority="54" stopIfTrue="1" operator="equal">
      <formula>"You cannot claim against this contract until all prior year program income has been expended."</formula>
    </cfRule>
  </conditionalFormatting>
  <conditionalFormatting sqref="M42">
    <cfRule type="cellIs" dxfId="458" priority="53" stopIfTrue="1" operator="equal">
      <formula>"You are over budget on expenditures."</formula>
    </cfRule>
  </conditionalFormatting>
  <conditionalFormatting sqref="M42">
    <cfRule type="containsText" dxfId="457" priority="52" operator="containsText" text="Not Ok">
      <formula>NOT(ISERROR(SEARCH("Not Ok",M42)))</formula>
    </cfRule>
  </conditionalFormatting>
  <conditionalFormatting sqref="C44">
    <cfRule type="containsText" dxfId="456" priority="49" stopIfTrue="1" operator="containsText" text="Not Ok">
      <formula>NOT(ISERROR(SEARCH("Not Ok",C44)))</formula>
    </cfRule>
  </conditionalFormatting>
  <conditionalFormatting sqref="C44:C46">
    <cfRule type="containsText" dxfId="455" priority="47" stopIfTrue="1" operator="containsText" text="Not Ok">
      <formula>NOT(ISERROR(SEARCH("Not Ok",C44)))</formula>
    </cfRule>
    <cfRule type="containsText" dxfId="454" priority="48" stopIfTrue="1" operator="containsText" text="Not Ok">
      <formula>NOT(ISERROR(SEARCH("Not Ok",C44)))</formula>
    </cfRule>
  </conditionalFormatting>
  <conditionalFormatting sqref="C45:H46 C44">
    <cfRule type="containsText" dxfId="453" priority="46" stopIfTrue="1" operator="containsText" text="Not Ok">
      <formula>NOT(ISERROR(SEARCH("Not Ok",C44)))</formula>
    </cfRule>
  </conditionalFormatting>
  <conditionalFormatting sqref="C43">
    <cfRule type="cellIs" dxfId="452" priority="45" stopIfTrue="1" operator="equal">
      <formula>"You are over budget on expenditures."</formula>
    </cfRule>
  </conditionalFormatting>
  <conditionalFormatting sqref="C44:L46 C43:E43 G43:L43 J47:L47">
    <cfRule type="containsText" dxfId="451" priority="43" operator="containsText" text="Not Ok">
      <formula>NOT(ISERROR(SEARCH("Not Ok",C43)))</formula>
    </cfRule>
  </conditionalFormatting>
  <conditionalFormatting sqref="M44">
    <cfRule type="containsText" dxfId="450" priority="41" stopIfTrue="1" operator="containsText" text="Not Ok">
      <formula>NOT(ISERROR(SEARCH("Not Ok",M44)))</formula>
    </cfRule>
  </conditionalFormatting>
  <conditionalFormatting sqref="M44:M46">
    <cfRule type="containsText" dxfId="449" priority="39" stopIfTrue="1" operator="containsText" text="Not Ok">
      <formula>NOT(ISERROR(SEARCH("Not Ok",M44)))</formula>
    </cfRule>
    <cfRule type="containsText" dxfId="448" priority="40" stopIfTrue="1" operator="containsText" text="Not Ok">
      <formula>NOT(ISERROR(SEARCH("Not Ok",M44)))</formula>
    </cfRule>
  </conditionalFormatting>
  <conditionalFormatting sqref="M44:M46">
    <cfRule type="containsText" dxfId="447" priority="38" stopIfTrue="1" operator="containsText" text="Not Ok">
      <formula>NOT(ISERROR(SEARCH("Not Ok",M44)))</formula>
    </cfRule>
  </conditionalFormatting>
  <conditionalFormatting sqref="M43">
    <cfRule type="cellIs" dxfId="446" priority="37" stopIfTrue="1" operator="equal">
      <formula>"You are over budget on expenditures."</formula>
    </cfRule>
  </conditionalFormatting>
  <conditionalFormatting sqref="M43:M46">
    <cfRule type="containsText" dxfId="445" priority="36" operator="containsText" text="Not Ok">
      <formula>NOT(ISERROR(SEARCH("Not Ok",M43)))</formula>
    </cfRule>
  </conditionalFormatting>
  <conditionalFormatting sqref="M46">
    <cfRule type="containsText" dxfId="444" priority="34" stopIfTrue="1" operator="containsText" text="Not Ok">
      <formula>NOT(ISERROR(SEARCH("Not Ok",M46)))</formula>
    </cfRule>
  </conditionalFormatting>
  <conditionalFormatting sqref="B21 D21:L21">
    <cfRule type="containsText" dxfId="443" priority="33" operator="containsText" text=" ">
      <formula>NOT(ISERROR(SEARCH(" ",B21)))</formula>
    </cfRule>
  </conditionalFormatting>
  <conditionalFormatting sqref="M47">
    <cfRule type="containsText" dxfId="442" priority="25" operator="containsText" text="Not Ok">
      <formula>NOT(ISERROR(SEARCH("Not Ok",M47)))</formula>
    </cfRule>
  </conditionalFormatting>
  <conditionalFormatting sqref="C47">
    <cfRule type="containsText" dxfId="441" priority="31" stopIfTrue="1" operator="containsText" text="Not Ok">
      <formula>NOT(ISERROR(SEARCH("Not Ok",C47)))</formula>
    </cfRule>
    <cfRule type="containsText" dxfId="440" priority="32" stopIfTrue="1" operator="containsText" text="Not Ok">
      <formula>NOT(ISERROR(SEARCH("Not Ok",C47)))</formula>
    </cfRule>
  </conditionalFormatting>
  <conditionalFormatting sqref="C47:I47">
    <cfRule type="containsText" dxfId="439" priority="30" stopIfTrue="1" operator="containsText" text="Not Ok">
      <formula>NOT(ISERROR(SEARCH("Not Ok",C47)))</formula>
    </cfRule>
  </conditionalFormatting>
  <conditionalFormatting sqref="C47:I47">
    <cfRule type="containsText" dxfId="438" priority="29" operator="containsText" text="Not Ok">
      <formula>NOT(ISERROR(SEARCH("Not Ok",C47)))</formula>
    </cfRule>
  </conditionalFormatting>
  <conditionalFormatting sqref="M47">
    <cfRule type="containsText" dxfId="437" priority="27" stopIfTrue="1" operator="containsText" text="Not Ok">
      <formula>NOT(ISERROR(SEARCH("Not Ok",M47)))</formula>
    </cfRule>
    <cfRule type="containsText" dxfId="436" priority="28" stopIfTrue="1" operator="containsText" text="Not Ok">
      <formula>NOT(ISERROR(SEARCH("Not Ok",M47)))</formula>
    </cfRule>
  </conditionalFormatting>
  <conditionalFormatting sqref="M47">
    <cfRule type="containsText" dxfId="435" priority="26" stopIfTrue="1" operator="containsText" text="Not Ok">
      <formula>NOT(ISERROR(SEARCH("Not Ok",M47)))</formula>
    </cfRule>
  </conditionalFormatting>
  <conditionalFormatting sqref="N45:N47">
    <cfRule type="containsText" dxfId="434" priority="22" stopIfTrue="1" operator="containsText" text="Not Ok">
      <formula>NOT(ISERROR(SEARCH("Not Ok",N45)))</formula>
    </cfRule>
  </conditionalFormatting>
  <conditionalFormatting sqref="N43:N47">
    <cfRule type="containsText" dxfId="433" priority="21" operator="containsText" text="Not Ok">
      <formula>NOT(ISERROR(SEARCH("Not Ok",N43)))</formula>
    </cfRule>
  </conditionalFormatting>
  <conditionalFormatting sqref="N1">
    <cfRule type="containsText" dxfId="432" priority="20" operator="containsText" text="End">
      <formula>NOT(ISERROR(SEARCH("End",N1)))</formula>
    </cfRule>
  </conditionalFormatting>
  <conditionalFormatting sqref="N1">
    <cfRule type="containsText" dxfId="431" priority="19" operator="containsText" text="End">
      <formula>NOT(ISERROR(SEARCH("End",N1)))</formula>
    </cfRule>
  </conditionalFormatting>
  <conditionalFormatting sqref="N2">
    <cfRule type="containsText" dxfId="430" priority="18" operator="containsText" text="Please">
      <formula>NOT(ISERROR(SEARCH("Please",N2)))</formula>
    </cfRule>
  </conditionalFormatting>
  <conditionalFormatting sqref="A1">
    <cfRule type="containsText" dxfId="429" priority="12" operator="containsText" text="End">
      <formula>NOT(ISERROR(SEARCH("End",A1)))</formula>
    </cfRule>
  </conditionalFormatting>
  <conditionalFormatting sqref="A1">
    <cfRule type="containsText" dxfId="428" priority="11" operator="containsText" text="End">
      <formula>NOT(ISERROR(SEARCH("End",A1)))</formula>
    </cfRule>
  </conditionalFormatting>
  <conditionalFormatting sqref="A2:B2">
    <cfRule type="containsText" dxfId="427" priority="10" operator="containsText" text="Please">
      <formula>NOT(ISERROR(SEARCH("Please",A2)))</formula>
    </cfRule>
  </conditionalFormatting>
  <conditionalFormatting sqref="M21">
    <cfRule type="containsText" dxfId="426" priority="8" operator="containsText" text="#">
      <formula>NOT(ISERROR(SEARCH("#",M21)))</formula>
    </cfRule>
  </conditionalFormatting>
  <conditionalFormatting sqref="B36:L36">
    <cfRule type="containsText" dxfId="425" priority="7" operator="containsText" text="Error">
      <formula>NOT(ISERROR(SEARCH("Error",B36)))</formula>
    </cfRule>
  </conditionalFormatting>
  <conditionalFormatting sqref="A36">
    <cfRule type="containsText" dxfId="424" priority="6" operator="containsText" text="Enter">
      <formula>NOT(ISERROR(SEARCH("Enter",A36)))</formula>
    </cfRule>
  </conditionalFormatting>
  <conditionalFormatting sqref="B50">
    <cfRule type="cellIs" dxfId="423" priority="5" stopIfTrue="1" operator="equal">
      <formula>"You cannot claim against this contract until all prior year program income has been expended."</formula>
    </cfRule>
  </conditionalFormatting>
  <conditionalFormatting sqref="C50:C51">
    <cfRule type="containsText" dxfId="422" priority="4" operator="containsText" text="You">
      <formula>NOT(ISERROR(SEARCH("You",C50)))</formula>
    </cfRule>
  </conditionalFormatting>
  <conditionalFormatting sqref="M50:M51">
    <cfRule type="containsText" dxfId="421" priority="3" operator="containsText" text="You">
      <formula>NOT(ISERROR(SEARCH("You",M50)))</formula>
    </cfRule>
  </conditionalFormatting>
  <conditionalFormatting sqref="C52">
    <cfRule type="containsText" dxfId="420" priority="2" operator="containsText" text="Double">
      <formula>NOT(ISERROR(SEARCH("Double",C52)))</formula>
    </cfRule>
  </conditionalFormatting>
  <conditionalFormatting sqref="M52">
    <cfRule type="containsText" dxfId="419" priority="1" operator="containsText" text="You">
      <formula>NOT(ISERROR(SEARCH("You",M52)))</formula>
    </cfRule>
  </conditionalFormatting>
  <printOptions horizontalCentered="1"/>
  <pageMargins left="0.25" right="0.25" top="0.25" bottom="0.5" header="0" footer="0"/>
  <pageSetup scale="73" orientation="landscape" horizontalDpi="300" verticalDpi="300" r:id="rId2"/>
  <headerFooter alignWithMargins="0">
    <oddFooter>&amp;R&amp;8&amp;Z&amp;F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pageSetUpPr fitToPage="1"/>
  </sheetPr>
  <dimension ref="A1:R54"/>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31.6640625" customWidth="1"/>
    <col min="2" max="12" width="12.6640625" customWidth="1"/>
    <col min="13" max="13" width="15.664062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1295</v>
      </c>
      <c r="L1" s="572"/>
      <c r="M1" s="397"/>
      <c r="N1" s="167" t="str">
        <f>IF(AND(G5="x",OR(M43="x",M47="x",M50="x",M52="x")),"x","")</f>
        <v/>
      </c>
    </row>
    <row r="2" spans="1:14" s="13" customFormat="1" ht="15" customHeight="1">
      <c r="A2" s="601" t="str">
        <f>IF(N2="x","Please address the errors listed below.","")</f>
        <v/>
      </c>
      <c r="B2" s="574"/>
      <c r="C2" s="15"/>
      <c r="D2" s="15"/>
      <c r="E2" s="15"/>
      <c r="F2" s="156" t="s">
        <v>1121</v>
      </c>
      <c r="G2" s="15"/>
      <c r="H2" s="15"/>
      <c r="I2" s="15"/>
      <c r="J2" s="15"/>
      <c r="K2" s="603" t="s">
        <v>1301</v>
      </c>
      <c r="L2" s="572"/>
      <c r="M2" s="397"/>
      <c r="N2" s="167" t="str">
        <f>IF(G5="x","",IF(OR(M50="x",M43="x"),"x",""))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16" t="s">
        <v>1302</v>
      </c>
      <c r="L3" s="617"/>
      <c r="M3" s="15"/>
      <c r="N3" s="62"/>
    </row>
    <row r="4" spans="1:14" s="13" customFormat="1" ht="15" customHeight="1">
      <c r="A4" s="17" t="s">
        <v>1125</v>
      </c>
      <c r="B4" s="15"/>
      <c r="C4" s="15"/>
      <c r="D4" s="608" t="e">
        <f>LOOKUP(E5,Date,'Addl Info'!B21:B33)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15"/>
      <c r="L5" s="15"/>
      <c r="M5" s="15"/>
      <c r="N5" s="15"/>
    </row>
    <row r="6" spans="1:14" s="13" customFormat="1" ht="15" customHeight="1">
      <c r="A6" s="17" t="s">
        <v>1127</v>
      </c>
      <c r="B6" s="15"/>
      <c r="C6" s="15"/>
      <c r="D6" s="15"/>
      <c r="E6" s="15"/>
      <c r="F6" s="152" t="e">
        <f>IF(D4="Non-Submission Period",0,LOOKUP(E3,CAUTAU,Allocations!K4:K92))</f>
        <v>#N/A</v>
      </c>
      <c r="G6" s="15"/>
      <c r="H6" s="15"/>
      <c r="I6" s="15"/>
      <c r="J6" s="15"/>
      <c r="K6" s="15"/>
      <c r="L6" s="15"/>
      <c r="M6" s="15"/>
      <c r="N6" s="15"/>
    </row>
    <row r="7" spans="1:14" ht="15" customHeight="1">
      <c r="A7" s="606"/>
      <c r="B7" s="607"/>
      <c r="C7" s="607"/>
      <c r="D7" s="607"/>
      <c r="E7" s="607"/>
      <c r="F7" s="607"/>
      <c r="G7" s="607"/>
      <c r="H7" s="607"/>
      <c r="I7" s="607"/>
      <c r="J7" s="607"/>
      <c r="K7" s="607"/>
      <c r="L7" s="607"/>
      <c r="M7" s="397"/>
    </row>
    <row r="8" spans="1:14" s="2" customFormat="1" ht="15" customHeight="1" thickBot="1">
      <c r="A8" s="1"/>
      <c r="B8" s="605" t="s">
        <v>1516</v>
      </c>
      <c r="C8" s="605"/>
      <c r="D8" s="605"/>
      <c r="E8" s="605"/>
      <c r="F8" s="605"/>
      <c r="G8" s="605"/>
      <c r="H8" s="605"/>
      <c r="I8" s="605"/>
      <c r="J8" s="605"/>
    </row>
    <row r="9" spans="1:14" ht="77.099999999999994" customHeight="1">
      <c r="A9" s="187" t="s">
        <v>1128</v>
      </c>
      <c r="B9" s="179" t="s">
        <v>1300</v>
      </c>
      <c r="C9" s="180" t="s">
        <v>346</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18"/>
      <c r="D21" s="318"/>
      <c r="E21" s="318"/>
      <c r="F21" s="318"/>
      <c r="G21" s="318"/>
      <c r="H21" s="318"/>
      <c r="I21" s="318"/>
      <c r="J21" s="318"/>
      <c r="K21" s="318"/>
      <c r="L21" s="319"/>
      <c r="M21" s="308">
        <f>G21+D21+E21+F21+C21+H21+I21+J21+K21+L21-K21-I21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SUM(B10:B34)</f>
        <v>0</v>
      </c>
      <c r="C35" s="316">
        <f t="shared" ref="C35:L35" si="0">SUM(C10:C34)</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08">
        <f>G35+D35+E35+F35+C35+H35+I35+J35+K35+L35-K35-I35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397"/>
      <c r="B38" s="12"/>
      <c r="C38" s="12"/>
      <c r="D38" s="12"/>
      <c r="E38" s="12"/>
      <c r="F38" s="12"/>
      <c r="G38" s="12"/>
      <c r="H38" s="12"/>
      <c r="I38" s="12"/>
      <c r="J38" s="12"/>
      <c r="K38" s="12"/>
      <c r="L38" s="12"/>
      <c r="M38" s="62"/>
    </row>
    <row r="39" spans="1:14" ht="12.9" customHeight="1">
      <c r="A39" s="397"/>
      <c r="B39" s="12"/>
      <c r="C39" s="12"/>
      <c r="D39" s="12"/>
      <c r="E39" s="12"/>
      <c r="F39" s="12"/>
      <c r="G39" s="12"/>
      <c r="H39" s="12"/>
      <c r="I39" s="12"/>
      <c r="J39" s="12"/>
      <c r="K39" s="12"/>
      <c r="L39" s="12"/>
      <c r="M39" s="62"/>
    </row>
    <row r="40" spans="1:14" ht="12.9" customHeight="1">
      <c r="A40" s="397"/>
      <c r="B40" s="12"/>
      <c r="C40" s="12"/>
      <c r="D40" s="12"/>
      <c r="E40" s="12"/>
      <c r="F40" s="12"/>
      <c r="G40" s="12"/>
      <c r="H40" s="12"/>
      <c r="I40" s="12"/>
      <c r="J40" s="12"/>
      <c r="K40" s="12"/>
      <c r="L40" s="12"/>
      <c r="M40" s="62"/>
    </row>
    <row r="41" spans="1:14" ht="12.9" customHeight="1">
      <c r="A41" s="397"/>
      <c r="B41" s="12"/>
      <c r="C41" s="12"/>
      <c r="D41" s="12"/>
      <c r="E41" s="12"/>
      <c r="F41" s="12"/>
      <c r="G41" s="12"/>
      <c r="H41" s="12"/>
      <c r="I41" s="12"/>
      <c r="J41" s="12"/>
      <c r="K41" s="12"/>
      <c r="L41" s="12"/>
      <c r="M41" s="62"/>
    </row>
    <row r="42" spans="1:14" ht="12.9" customHeight="1">
      <c r="A42" s="397"/>
      <c r="B42" s="12"/>
      <c r="C42" s="12"/>
      <c r="D42" s="12"/>
      <c r="E42" s="12"/>
      <c r="F42" s="12"/>
      <c r="G42" s="12"/>
      <c r="H42" s="12"/>
      <c r="I42" s="12"/>
      <c r="J42" s="12"/>
      <c r="K42" s="12"/>
      <c r="L42" s="12"/>
      <c r="M42" s="219"/>
    </row>
    <row r="43" spans="1:14" ht="12.9" customHeight="1">
      <c r="A43" s="15" t="s">
        <v>1161</v>
      </c>
      <c r="B43" s="147" t="e">
        <f>(F6-(C35+'Benefit Spec I&amp;A Repl #72019'!C35))</f>
        <v>#N/A</v>
      </c>
      <c r="C43" s="610" t="e">
        <f>IF(F6-(C35+'Benefit Spec I&amp;A Repl #72019'!C35)&lt;0,"Not Ok - You are over budget on expenditures.","")</f>
        <v>#N/A</v>
      </c>
      <c r="D43" s="611"/>
      <c r="E43" s="611"/>
      <c r="F43" s="574"/>
      <c r="G43" s="15"/>
      <c r="H43" s="15"/>
      <c r="I43" s="15"/>
      <c r="J43" s="15"/>
      <c r="K43" s="15"/>
      <c r="L43" s="15"/>
      <c r="M43" s="367" t="str">
        <f>IF(ISNUMBER(SEARCH("Not Ok",C43)), "X", "")</f>
        <v/>
      </c>
      <c r="N43" s="166"/>
    </row>
    <row r="44" spans="1:14" ht="12.9" customHeight="1">
      <c r="A44" s="15"/>
      <c r="B44" s="159"/>
      <c r="C44" s="601"/>
      <c r="D44" s="601"/>
      <c r="E44" s="601"/>
      <c r="F44" s="601"/>
      <c r="G44" s="601"/>
      <c r="H44" s="601"/>
      <c r="I44" s="601"/>
      <c r="J44" s="601"/>
      <c r="K44" s="601"/>
      <c r="L44" s="601"/>
      <c r="M44" s="367"/>
      <c r="N44" s="17"/>
    </row>
    <row r="45" spans="1:14" ht="12.9" customHeight="1">
      <c r="A45" s="15"/>
      <c r="B45" s="159"/>
      <c r="C45" s="601"/>
      <c r="D45" s="602"/>
      <c r="E45" s="602"/>
      <c r="F45" s="602"/>
      <c r="G45" s="602"/>
      <c r="H45" s="602"/>
      <c r="I45" s="602"/>
      <c r="J45" s="15"/>
      <c r="K45" s="15"/>
      <c r="L45" s="15"/>
      <c r="M45" s="367"/>
    </row>
    <row r="46" spans="1:14" ht="12.9" customHeight="1">
      <c r="A46" s="15"/>
      <c r="B46" s="159"/>
      <c r="C46" s="601"/>
      <c r="D46" s="601"/>
      <c r="E46" s="601"/>
      <c r="F46" s="601"/>
      <c r="G46" s="601"/>
      <c r="H46" s="601"/>
      <c r="I46" s="601"/>
      <c r="J46" s="601"/>
      <c r="K46" s="601"/>
      <c r="L46" s="601"/>
      <c r="M46" s="367"/>
      <c r="N46" s="17"/>
    </row>
    <row r="47" spans="1:14" ht="12.9" customHeight="1">
      <c r="A47" s="15" t="s">
        <v>1165</v>
      </c>
      <c r="B47" s="147">
        <f>SUM(D35:E35)+'Benefit Spec I&amp;A Repl #72019'!D35+'Benefit Spec I&amp;A Repl #72019'!E35</f>
        <v>0</v>
      </c>
      <c r="C47" s="601" t="str">
        <f>IF(G5&lt;&gt;"x","",IF(B47&gt;=SUM((C35+'Benefit Spec I&amp;A Repl #72019'!C35)/9),"Ok - Minimum Match Met","Not Ok - Your Cash Match and/or In-Kind Match does not meet the Mimimum Match requirement."))</f>
        <v/>
      </c>
      <c r="D47" s="602"/>
      <c r="E47" s="602"/>
      <c r="F47" s="602"/>
      <c r="G47" s="602"/>
      <c r="H47" s="602"/>
      <c r="I47" s="602"/>
      <c r="J47" s="15"/>
      <c r="K47" s="15"/>
      <c r="L47" s="15"/>
      <c r="M47" s="367" t="str">
        <f t="shared" ref="M47:M53" si="1">IF(ISNUMBER(SEARCH("Not Ok",C47)), "X", "")</f>
        <v/>
      </c>
    </row>
    <row r="48" spans="1:14" ht="12.9" customHeight="1">
      <c r="A48" s="15" t="s">
        <v>1166</v>
      </c>
      <c r="B48" s="217">
        <f>(ROUNDUP((C35+'Benefit Spec I&amp;A Repl #72019'!C35)/9,0))</f>
        <v>0</v>
      </c>
      <c r="C48" s="15" t="s">
        <v>1167</v>
      </c>
      <c r="D48" s="15"/>
      <c r="E48" s="15"/>
      <c r="F48" s="15"/>
      <c r="G48" s="15"/>
      <c r="H48" s="15"/>
      <c r="I48" s="15"/>
      <c r="J48" s="15"/>
      <c r="K48" s="15"/>
      <c r="L48" s="15"/>
      <c r="M48" s="367" t="str">
        <f t="shared" si="1"/>
        <v/>
      </c>
    </row>
    <row r="49" spans="1:18" ht="12.9" customHeight="1">
      <c r="A49" s="15"/>
      <c r="B49" s="147"/>
      <c r="C49" s="600"/>
      <c r="D49" s="600"/>
      <c r="E49" s="600"/>
      <c r="F49" s="600"/>
      <c r="G49" s="600"/>
      <c r="H49" s="600"/>
      <c r="I49" s="600"/>
      <c r="J49" s="15"/>
      <c r="K49" s="15"/>
      <c r="L49" s="15"/>
      <c r="M49" s="367" t="str">
        <f t="shared" si="1"/>
        <v/>
      </c>
      <c r="O49" s="397"/>
      <c r="P49" s="397"/>
      <c r="Q49" s="397"/>
      <c r="R49" s="397"/>
    </row>
    <row r="50" spans="1:18" s="15" customFormat="1" ht="12.9" customHeight="1">
      <c r="A50" s="15" t="str">
        <f>IF(B50="X","Program Income Carryover","")</f>
        <v/>
      </c>
      <c r="B50" s="227" t="str">
        <f>IF(AND((C35+'Benefit Spec I&amp;A Repl #72019'!C35)&gt;0,(K35+'Benefit Spec I&amp;A Repl #72019'!K35)&gt;(L35+'Benefit Spec I&amp;A Repl #72019'!L35)),"X","")</f>
        <v/>
      </c>
      <c r="C50" s="600" t="str">
        <f>IF(B50="x","Not Ok - You cannot claim against this contract until all prior year program income has been expended.","")</f>
        <v/>
      </c>
      <c r="D50" s="574"/>
      <c r="E50" s="574"/>
      <c r="F50" s="574"/>
      <c r="G50" s="574"/>
      <c r="H50" s="574"/>
      <c r="I50" s="574"/>
      <c r="J50" s="574"/>
      <c r="K50" s="574"/>
      <c r="M50" s="367" t="str">
        <f t="shared" si="1"/>
        <v/>
      </c>
      <c r="N50" s="146"/>
      <c r="O50" s="146"/>
      <c r="P50" s="146"/>
      <c r="Q50" s="146"/>
      <c r="R50" s="146"/>
    </row>
    <row r="51" spans="1:18" s="15" customFormat="1" ht="12.9" customHeight="1">
      <c r="B51" s="227"/>
      <c r="C51" s="600"/>
      <c r="D51" s="574"/>
      <c r="E51" s="574"/>
      <c r="F51" s="574"/>
      <c r="G51" s="574"/>
      <c r="H51" s="574"/>
      <c r="I51" s="574"/>
      <c r="M51" s="367" t="str">
        <f t="shared" si="1"/>
        <v/>
      </c>
    </row>
    <row r="52" spans="1:18" s="15" customFormat="1" ht="18">
      <c r="A52" s="15" t="str">
        <f>IF(B52="X","Current Year Program Income","")</f>
        <v/>
      </c>
      <c r="B52" s="227" t="str">
        <f>IF(G5&lt;&gt;"x","",IF((J35+'Benefit Spec I&amp;A Repl #72019'!J35)&gt;(I35+'Benefit Spec I&amp;A Repl #72019'!I35),"X",""))</f>
        <v/>
      </c>
      <c r="C52" s="600" t="str">
        <f>IF(B52="x","Not Ok - You cannot claim more in current year program income expended than has been received.","")</f>
        <v/>
      </c>
      <c r="D52" s="574"/>
      <c r="E52" s="574"/>
      <c r="F52" s="574"/>
      <c r="G52" s="574"/>
      <c r="H52" s="574"/>
      <c r="I52" s="574"/>
      <c r="J52" s="574"/>
      <c r="M52" s="367" t="str">
        <f t="shared" si="1"/>
        <v/>
      </c>
      <c r="N52" s="146"/>
    </row>
    <row r="53" spans="1:18" ht="12.9" customHeight="1">
      <c r="A53" s="15"/>
      <c r="B53" s="15"/>
      <c r="C53" s="15"/>
      <c r="D53" s="15"/>
      <c r="E53" s="15"/>
      <c r="F53" s="15"/>
      <c r="G53" s="15"/>
      <c r="H53" s="15"/>
      <c r="I53" s="15"/>
      <c r="J53" s="15"/>
      <c r="K53" s="15"/>
      <c r="L53" s="15"/>
      <c r="M53" s="366" t="str">
        <f t="shared" si="1"/>
        <v/>
      </c>
      <c r="O53" s="397"/>
      <c r="P53" s="397"/>
      <c r="Q53" s="397"/>
      <c r="R53" s="397"/>
    </row>
    <row r="54" spans="1:18" ht="12.9" customHeight="1">
      <c r="A54" s="15"/>
      <c r="B54" s="15"/>
      <c r="C54" s="15"/>
      <c r="D54" s="15"/>
      <c r="E54" s="15"/>
      <c r="F54" s="15"/>
      <c r="G54" s="15"/>
      <c r="H54" s="15"/>
      <c r="I54" s="15"/>
      <c r="J54" s="15"/>
      <c r="K54" s="15"/>
      <c r="L54" s="15"/>
      <c r="M54" s="15"/>
      <c r="O54" s="397"/>
      <c r="P54" s="397"/>
      <c r="Q54" s="397"/>
      <c r="R54" s="397"/>
    </row>
  </sheetData>
  <sheetProtection password="C3C4" sheet="1" objects="1" scenarios="1"/>
  <customSheetViews>
    <customSheetView guid="{89953FCB-456A-4C2D-8912-B30825F750D3}" fitToPage="1" topLeftCell="A6">
      <selection activeCell="E24" sqref="E24:F24"/>
      <pageMargins left="0" right="0" top="0" bottom="0" header="0" footer="0"/>
      <printOptions horizontalCentered="1"/>
      <pageSetup scale="80" orientation="landscape" r:id="rId1"/>
      <headerFooter alignWithMargins="0">
        <oddFooter>&amp;R&amp;8&amp;Z&amp;F</oddFooter>
      </headerFooter>
    </customSheetView>
  </customSheetViews>
  <mergeCells count="19">
    <mergeCell ref="C46:L46"/>
    <mergeCell ref="C51:I51"/>
    <mergeCell ref="C52:J52"/>
    <mergeCell ref="C47:I47"/>
    <mergeCell ref="C49:I49"/>
    <mergeCell ref="C50:K50"/>
    <mergeCell ref="A1:C1"/>
    <mergeCell ref="A2:B2"/>
    <mergeCell ref="C43:F43"/>
    <mergeCell ref="C44:L44"/>
    <mergeCell ref="C45:I45"/>
    <mergeCell ref="K1:L1"/>
    <mergeCell ref="K2:L2"/>
    <mergeCell ref="E3:F3"/>
    <mergeCell ref="K3:L3"/>
    <mergeCell ref="D4:F4"/>
    <mergeCell ref="E5:F5"/>
    <mergeCell ref="A7:L7"/>
    <mergeCell ref="B8:J8"/>
  </mergeCells>
  <conditionalFormatting sqref="G3">
    <cfRule type="containsText" dxfId="418" priority="73" stopIfTrue="1" operator="containsText" text="Not Ok">
      <formula>NOT(ISERROR(SEARCH("Not Ok",G3)))</formula>
    </cfRule>
    <cfRule type="containsText" dxfId="417" priority="74" stopIfTrue="1" operator="containsText" text="Not Ok">
      <formula>NOT(ISERROR(SEARCH("Not Ok",G3)))</formula>
    </cfRule>
  </conditionalFormatting>
  <conditionalFormatting sqref="G3">
    <cfRule type="containsText" dxfId="416" priority="72" stopIfTrue="1" operator="containsText" text="Not Ok">
      <formula>NOT(ISERROR(SEARCH("Not Ok",G3)))</formula>
    </cfRule>
  </conditionalFormatting>
  <conditionalFormatting sqref="B38:B41">
    <cfRule type="cellIs" dxfId="415" priority="68" stopIfTrue="1" operator="equal">
      <formula>"You cannot claim against this contract until all prior year program income has been expended."</formula>
    </cfRule>
  </conditionalFormatting>
  <conditionalFormatting sqref="M42">
    <cfRule type="cellIs" dxfId="414" priority="67" stopIfTrue="1" operator="equal">
      <formula>"You are over budget on expenditures."</formula>
    </cfRule>
  </conditionalFormatting>
  <conditionalFormatting sqref="M42">
    <cfRule type="containsText" dxfId="413" priority="66" operator="containsText" text="Not Ok">
      <formula>NOT(ISERROR(SEARCH("Not Ok",M42)))</formula>
    </cfRule>
  </conditionalFormatting>
  <conditionalFormatting sqref="N45:N47">
    <cfRule type="containsText" dxfId="412" priority="41" stopIfTrue="1" operator="containsText" text="Not Ok">
      <formula>NOT(ISERROR(SEARCH("Not Ok",N45)))</formula>
    </cfRule>
  </conditionalFormatting>
  <conditionalFormatting sqref="N43:N47">
    <cfRule type="containsText" dxfId="411" priority="40" operator="containsText" text="Not Ok">
      <formula>NOT(ISERROR(SEARCH("Not Ok",N43)))</formula>
    </cfRule>
  </conditionalFormatting>
  <conditionalFormatting sqref="M21">
    <cfRule type="containsText" dxfId="410" priority="27" operator="containsText" text="#">
      <formula>NOT(ISERROR(SEARCH("#",M21)))</formula>
    </cfRule>
  </conditionalFormatting>
  <conditionalFormatting sqref="B36:L36">
    <cfRule type="containsText" dxfId="409" priority="26" operator="containsText" text="Error">
      <formula>NOT(ISERROR(SEARCH("Error",B36)))</formula>
    </cfRule>
  </conditionalFormatting>
  <conditionalFormatting sqref="A36">
    <cfRule type="containsText" dxfId="408" priority="25" operator="containsText" text="Enter">
      <formula>NOT(ISERROR(SEARCH("Enter",A36)))</formula>
    </cfRule>
  </conditionalFormatting>
  <conditionalFormatting sqref="B50">
    <cfRule type="cellIs" dxfId="407" priority="19" stopIfTrue="1" operator="equal">
      <formula>"You cannot claim against this contract until all prior year program income has been expended."</formula>
    </cfRule>
  </conditionalFormatting>
  <conditionalFormatting sqref="A1">
    <cfRule type="containsText" dxfId="406" priority="15" operator="containsText" text="End">
      <formula>NOT(ISERROR(SEARCH("End",A1)))</formula>
    </cfRule>
  </conditionalFormatting>
  <conditionalFormatting sqref="A1">
    <cfRule type="containsText" dxfId="405" priority="14" operator="containsText" text="End">
      <formula>NOT(ISERROR(SEARCH("End",A1)))</formula>
    </cfRule>
  </conditionalFormatting>
  <conditionalFormatting sqref="A2:B2">
    <cfRule type="containsText" dxfId="404" priority="13" operator="containsText" text="Please">
      <formula>NOT(ISERROR(SEARCH("Please",A2)))</formula>
    </cfRule>
  </conditionalFormatting>
  <conditionalFormatting sqref="C43:L49 C51:L51 C50:I50 L50 C52:I52 K52:L52">
    <cfRule type="containsText" dxfId="403" priority="9" operator="containsText" text="Not Ok">
      <formula>NOT(ISERROR(SEARCH("Not Ok",C43)))</formula>
    </cfRule>
  </conditionalFormatting>
  <conditionalFormatting sqref="B52">
    <cfRule type="cellIs" dxfId="402" priority="8" stopIfTrue="1" operator="equal">
      <formula>"You cannot claim against this contract until all prior year program income has been expended."</formula>
    </cfRule>
  </conditionalFormatting>
  <conditionalFormatting sqref="N1">
    <cfRule type="containsText" dxfId="401" priority="4" operator="containsText" text="End">
      <formula>NOT(ISERROR(SEARCH("End",N1)))</formula>
    </cfRule>
  </conditionalFormatting>
  <conditionalFormatting sqref="N1">
    <cfRule type="containsText" dxfId="400" priority="3" operator="containsText" text="End">
      <formula>NOT(ISERROR(SEARCH("End",N1)))</formula>
    </cfRule>
  </conditionalFormatting>
  <conditionalFormatting sqref="N2">
    <cfRule type="containsText" dxfId="399" priority="2" operator="containsText" text="Please">
      <formula>NOT(ISERROR(SEARCH("Please",N2)))</formula>
    </cfRule>
  </conditionalFormatting>
  <conditionalFormatting sqref="M35">
    <cfRule type="containsText" dxfId="398" priority="1" operator="containsText" text="#">
      <formula>NOT(ISERROR(SEARCH("#",M35)))</formula>
    </cfRule>
  </conditionalFormatting>
  <dataValidations count="2">
    <dataValidation type="whole" allowBlank="1" showInputMessage="1" showErrorMessage="1" errorTitle="Whole Number Validation" error="You must enter all dollars as whole numbers - no decimals (cents) or spaces." sqref="B22:L23 B19:L20" xr:uid="{A4F5788F-C48A-4A4F-8D95-2A7A60DB8ADE}">
      <formula1>0</formula1>
      <formula2>1000000</formula2>
    </dataValidation>
    <dataValidation type="whole" allowBlank="1" showInputMessage="1" showErrorMessage="1" errorTitle="Whole Number Validation" error="You must enter all dollars as whole numbers - no decimals (cents) or spaces." sqref="B21:L21" xr:uid="{81EE9A57-9527-4590-BE02-5C6809C55F71}">
      <formula1>-100000000</formula1>
      <formula2>100000000</formula2>
    </dataValidation>
  </dataValidations>
  <printOptions horizontalCentered="1"/>
  <pageMargins left="0.25" right="0.25" top="0.25" bottom="0.5" header="0" footer="0"/>
  <pageSetup scale="73" orientation="landscape" r:id="rId2"/>
  <headerFooter alignWithMargins="0">
    <oddFooter>&amp;R&amp;8&amp;Z&amp;F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100"/>
  <sheetViews>
    <sheetView workbookViewId="0">
      <pane xSplit="1" ySplit="3" topLeftCell="B76" activePane="bottomRight" state="frozen"/>
      <selection pane="topRight" activeCell="B1" sqref="B1"/>
      <selection pane="bottomLeft" activeCell="A4" sqref="A4"/>
      <selection pane="bottomRight" activeCell="A44" sqref="A44"/>
    </sheetView>
  </sheetViews>
  <sheetFormatPr defaultColWidth="9.109375" defaultRowHeight="15.6"/>
  <cols>
    <col min="1" max="1" width="31" style="73" bestFit="1" customWidth="1"/>
    <col min="2" max="148" width="13" style="73" customWidth="1"/>
    <col min="149" max="149" width="2.33203125" style="73" customWidth="1"/>
    <col min="150" max="150" width="13" style="73" customWidth="1"/>
    <col min="151" max="153" width="2.33203125" style="73" customWidth="1"/>
    <col min="154" max="16384" width="9.109375" style="73"/>
  </cols>
  <sheetData>
    <row r="2" spans="1:1">
      <c r="A2" s="29"/>
    </row>
    <row r="3" spans="1:1">
      <c r="A3" s="29" t="s">
        <v>95</v>
      </c>
    </row>
    <row r="4" spans="1:1">
      <c r="A4" s="29"/>
    </row>
    <row r="5" spans="1:1">
      <c r="A5" s="40" t="s">
        <v>96</v>
      </c>
    </row>
    <row r="6" spans="1:1">
      <c r="A6" s="40" t="s">
        <v>97</v>
      </c>
    </row>
    <row r="7" spans="1:1">
      <c r="A7" s="40" t="s">
        <v>98</v>
      </c>
    </row>
    <row r="8" spans="1:1">
      <c r="A8" s="40" t="s">
        <v>99</v>
      </c>
    </row>
    <row r="9" spans="1:1">
      <c r="A9" s="40" t="s">
        <v>100</v>
      </c>
    </row>
    <row r="10" spans="1:1">
      <c r="A10" s="42" t="s">
        <v>101</v>
      </c>
    </row>
    <row r="11" spans="1:1">
      <c r="A11" s="40" t="s">
        <v>102</v>
      </c>
    </row>
    <row r="12" spans="1:1">
      <c r="A12" s="40" t="s">
        <v>103</v>
      </c>
    </row>
    <row r="13" spans="1:1">
      <c r="A13" s="42" t="s">
        <v>104</v>
      </c>
    </row>
    <row r="14" spans="1:1">
      <c r="A14" s="40" t="s">
        <v>105</v>
      </c>
    </row>
    <row r="15" spans="1:1">
      <c r="A15" s="40" t="s">
        <v>106</v>
      </c>
    </row>
    <row r="16" spans="1:1">
      <c r="A16" s="40" t="s">
        <v>107</v>
      </c>
    </row>
    <row r="17" spans="1:1">
      <c r="A17" s="40" t="s">
        <v>108</v>
      </c>
    </row>
    <row r="18" spans="1:1">
      <c r="A18" s="40" t="s">
        <v>109</v>
      </c>
    </row>
    <row r="19" spans="1:1">
      <c r="A19" s="42" t="s">
        <v>110</v>
      </c>
    </row>
    <row r="20" spans="1:1">
      <c r="A20" s="40" t="s">
        <v>111</v>
      </c>
    </row>
    <row r="21" spans="1:1">
      <c r="A21" s="40" t="s">
        <v>112</v>
      </c>
    </row>
    <row r="22" spans="1:1">
      <c r="A22" s="40" t="s">
        <v>113</v>
      </c>
    </row>
    <row r="23" spans="1:1">
      <c r="A23" s="40" t="s">
        <v>114</v>
      </c>
    </row>
    <row r="24" spans="1:1">
      <c r="A24" s="42" t="s">
        <v>115</v>
      </c>
    </row>
    <row r="25" spans="1:1">
      <c r="A25" s="40" t="s">
        <v>116</v>
      </c>
    </row>
    <row r="26" spans="1:1">
      <c r="A26" s="40" t="s">
        <v>117</v>
      </c>
    </row>
    <row r="27" spans="1:1">
      <c r="A27" s="40" t="s">
        <v>118</v>
      </c>
    </row>
    <row r="28" spans="1:1" ht="15.75" customHeight="1">
      <c r="A28" s="42" t="s">
        <v>119</v>
      </c>
    </row>
    <row r="29" spans="1:1">
      <c r="A29" s="40" t="s">
        <v>120</v>
      </c>
    </row>
    <row r="30" spans="1:1">
      <c r="A30" s="40" t="s">
        <v>121</v>
      </c>
    </row>
    <row r="31" spans="1:1">
      <c r="A31" s="40" t="s">
        <v>122</v>
      </c>
    </row>
    <row r="32" spans="1:1">
      <c r="A32" s="40" t="s">
        <v>123</v>
      </c>
    </row>
    <row r="33" spans="1:1">
      <c r="A33" s="40" t="s">
        <v>124</v>
      </c>
    </row>
    <row r="34" spans="1:1">
      <c r="A34" s="40" t="s">
        <v>125</v>
      </c>
    </row>
    <row r="35" spans="1:1">
      <c r="A35" s="42" t="s">
        <v>126</v>
      </c>
    </row>
    <row r="36" spans="1:1">
      <c r="A36" s="40" t="s">
        <v>127</v>
      </c>
    </row>
    <row r="37" spans="1:1">
      <c r="A37" s="40" t="s">
        <v>128</v>
      </c>
    </row>
    <row r="38" spans="1:1">
      <c r="A38" s="40" t="s">
        <v>129</v>
      </c>
    </row>
    <row r="39" spans="1:1">
      <c r="A39" s="57" t="s">
        <v>130</v>
      </c>
    </row>
    <row r="40" spans="1:1">
      <c r="A40" s="40" t="s">
        <v>131</v>
      </c>
    </row>
    <row r="41" spans="1:1">
      <c r="A41" s="42" t="s">
        <v>132</v>
      </c>
    </row>
    <row r="42" spans="1:1">
      <c r="A42" s="40" t="s">
        <v>133</v>
      </c>
    </row>
    <row r="43" spans="1:1">
      <c r="A43" s="42" t="s">
        <v>134</v>
      </c>
    </row>
    <row r="44" spans="1:1">
      <c r="A44" s="364" t="s">
        <v>135</v>
      </c>
    </row>
    <row r="45" spans="1:1">
      <c r="A45" s="42" t="s">
        <v>136</v>
      </c>
    </row>
    <row r="46" spans="1:1">
      <c r="A46" s="40" t="s">
        <v>137</v>
      </c>
    </row>
    <row r="47" spans="1:1">
      <c r="A47" s="40" t="s">
        <v>138</v>
      </c>
    </row>
    <row r="48" spans="1:1">
      <c r="A48" s="40" t="s">
        <v>139</v>
      </c>
    </row>
    <row r="49" spans="1:1">
      <c r="A49" s="42" t="s">
        <v>140</v>
      </c>
    </row>
    <row r="50" spans="1:1">
      <c r="A50" s="40" t="s">
        <v>141</v>
      </c>
    </row>
    <row r="51" spans="1:1">
      <c r="A51" s="42" t="s">
        <v>142</v>
      </c>
    </row>
    <row r="52" spans="1:1">
      <c r="A52" s="40" t="s">
        <v>143</v>
      </c>
    </row>
    <row r="53" spans="1:1">
      <c r="A53" s="40" t="s">
        <v>144</v>
      </c>
    </row>
    <row r="54" spans="1:1">
      <c r="A54" s="40" t="s">
        <v>145</v>
      </c>
    </row>
    <row r="55" spans="1:1">
      <c r="A55" s="40" t="s">
        <v>146</v>
      </c>
    </row>
    <row r="56" spans="1:1">
      <c r="A56" s="40" t="s">
        <v>147</v>
      </c>
    </row>
    <row r="57" spans="1:1">
      <c r="A57" s="40" t="s">
        <v>148</v>
      </c>
    </row>
    <row r="58" spans="1:1">
      <c r="A58" s="40" t="s">
        <v>149</v>
      </c>
    </row>
    <row r="59" spans="1:1">
      <c r="A59" s="40" t="s">
        <v>150</v>
      </c>
    </row>
    <row r="60" spans="1:1">
      <c r="A60" s="40" t="s">
        <v>151</v>
      </c>
    </row>
    <row r="61" spans="1:1">
      <c r="A61" s="40" t="s">
        <v>152</v>
      </c>
    </row>
    <row r="62" spans="1:1">
      <c r="A62" s="40" t="s">
        <v>153</v>
      </c>
    </row>
    <row r="63" spans="1:1">
      <c r="A63" s="40" t="s">
        <v>154</v>
      </c>
    </row>
    <row r="64" spans="1:1">
      <c r="A64" s="42" t="s">
        <v>155</v>
      </c>
    </row>
    <row r="65" spans="1:1">
      <c r="A65" s="42" t="s">
        <v>156</v>
      </c>
    </row>
    <row r="66" spans="1:1">
      <c r="A66" s="40" t="s">
        <v>157</v>
      </c>
    </row>
    <row r="67" spans="1:1">
      <c r="A67" s="43" t="s">
        <v>158</v>
      </c>
    </row>
    <row r="68" spans="1:1">
      <c r="A68" s="43" t="s">
        <v>159</v>
      </c>
    </row>
    <row r="69" spans="1:1">
      <c r="A69" s="40" t="s">
        <v>160</v>
      </c>
    </row>
    <row r="70" spans="1:1">
      <c r="A70" s="40" t="s">
        <v>161</v>
      </c>
    </row>
    <row r="71" spans="1:1">
      <c r="A71" s="40" t="s">
        <v>162</v>
      </c>
    </row>
    <row r="72" spans="1:1">
      <c r="A72" s="40" t="s">
        <v>163</v>
      </c>
    </row>
    <row r="73" spans="1:1">
      <c r="A73" s="40" t="s">
        <v>164</v>
      </c>
    </row>
    <row r="74" spans="1:1">
      <c r="A74" s="40" t="s">
        <v>165</v>
      </c>
    </row>
    <row r="75" spans="1:1">
      <c r="A75" s="40" t="s">
        <v>166</v>
      </c>
    </row>
    <row r="76" spans="1:1">
      <c r="A76" s="40" t="s">
        <v>167</v>
      </c>
    </row>
    <row r="77" spans="1:1">
      <c r="A77" s="40" t="s">
        <v>168</v>
      </c>
    </row>
    <row r="78" spans="1:1">
      <c r="A78" s="42" t="s">
        <v>169</v>
      </c>
    </row>
    <row r="79" spans="1:1">
      <c r="A79" s="42" t="s">
        <v>170</v>
      </c>
    </row>
    <row r="80" spans="1:1">
      <c r="A80" s="42" t="s">
        <v>171</v>
      </c>
    </row>
    <row r="81" spans="1:1">
      <c r="A81" s="40" t="s">
        <v>172</v>
      </c>
    </row>
    <row r="82" spans="1:1">
      <c r="A82" s="40"/>
    </row>
    <row r="84" spans="1:1">
      <c r="A84" s="149" t="s">
        <v>173</v>
      </c>
    </row>
    <row r="85" spans="1:1">
      <c r="A85" s="149" t="s">
        <v>174</v>
      </c>
    </row>
    <row r="86" spans="1:1">
      <c r="A86" s="149" t="s">
        <v>175</v>
      </c>
    </row>
    <row r="87" spans="1:1">
      <c r="A87" s="149" t="s">
        <v>176</v>
      </c>
    </row>
    <row r="88" spans="1:1">
      <c r="A88" s="149" t="s">
        <v>177</v>
      </c>
    </row>
    <row r="89" spans="1:1">
      <c r="A89" s="149" t="s">
        <v>178</v>
      </c>
    </row>
    <row r="90" spans="1:1">
      <c r="A90" s="149" t="s">
        <v>179</v>
      </c>
    </row>
    <row r="91" spans="1:1">
      <c r="A91" s="149" t="s">
        <v>180</v>
      </c>
    </row>
    <row r="92" spans="1:1">
      <c r="A92" s="149" t="s">
        <v>181</v>
      </c>
    </row>
    <row r="93" spans="1:1">
      <c r="A93" s="149" t="s">
        <v>182</v>
      </c>
    </row>
    <row r="94" spans="1:1">
      <c r="A94" s="149" t="s">
        <v>183</v>
      </c>
    </row>
    <row r="96" spans="1:1">
      <c r="A96" s="149" t="s">
        <v>184</v>
      </c>
    </row>
    <row r="98" spans="1:2">
      <c r="A98" s="73" t="s">
        <v>185</v>
      </c>
    </row>
    <row r="99" spans="1:2">
      <c r="A99" s="73" t="str">
        <f>IF('Certificate of Claim CAU'!B5="",IF('Cert of Claim Legal Action'!B5="",IF('Certificate of Claim TAU'!B5="",IF('Cert. of Claim Menominee Tribe'!B5="","",'Cert. of Claim Menominee Tribe'!B5),'Certificate of Claim TAU'!B5),'Cert of Claim Legal Action'!B5),'Certificate of Claim CAU'!B5)</f>
        <v>Menominee Tribe</v>
      </c>
      <c r="B99" s="151"/>
    </row>
    <row r="100" spans="1:2">
      <c r="A100" s="73" t="str">
        <f>IF('Certificate of Claim CAU'!H9="",IF('Cert of Claim Legal Action'!H9="",IF('Certificate of Claim TAU'!H9="",IF('Cert. of Claim Menominee Tribe'!H9="","",'Cert. of Claim Menominee Tribe'!H9),'Certificate of Claim TAU'!H9),'Cert of Claim Legal Action'!H9),'Certificate of Claim CAU'!H9)</f>
        <v/>
      </c>
      <c r="B100" s="151"/>
    </row>
  </sheetData>
  <sheetProtection password="C3C4" sheet="1" objects="1" scenarios="1"/>
  <sortState ref="A5:A81">
    <sortCondition ref="A5:A81"/>
  </sortState>
  <printOptions headings="1" gridLines="1"/>
  <pageMargins left="0.75" right="0.75" top="1" bottom="1" header="0.5" footer="0.5"/>
  <pageSetup scale="51" fitToWidth="8" fitToHeight="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R57"/>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26.6640625" customWidth="1"/>
    <col min="2" max="11" width="12.6640625" customWidth="1"/>
    <col min="12" max="12" width="14.33203125" customWidth="1"/>
    <col min="13" max="13" width="15.6640625" customWidth="1"/>
    <col min="14" max="14" width="9.109375" style="15"/>
  </cols>
  <sheetData>
    <row r="1" spans="1:14" s="13" customFormat="1" ht="15" customHeight="1">
      <c r="A1" s="601"/>
      <c r="B1" s="601"/>
      <c r="C1" s="601"/>
      <c r="D1" s="15"/>
      <c r="E1" s="15"/>
      <c r="F1" s="15"/>
      <c r="G1" s="15"/>
      <c r="H1" s="15"/>
      <c r="I1" s="15"/>
      <c r="J1" s="15"/>
      <c r="K1" s="604" t="s">
        <v>1295</v>
      </c>
      <c r="L1" s="572"/>
      <c r="M1" s="397"/>
      <c r="N1" s="167"/>
    </row>
    <row r="2" spans="1:14" s="13" customFormat="1" ht="15" customHeight="1">
      <c r="A2" s="601"/>
      <c r="B2" s="574"/>
      <c r="C2" s="15"/>
      <c r="D2" s="15"/>
      <c r="E2" s="15"/>
      <c r="F2" s="156" t="s">
        <v>1121</v>
      </c>
      <c r="G2" s="15"/>
      <c r="H2" s="15"/>
      <c r="I2" s="15"/>
      <c r="J2" s="15"/>
      <c r="K2" s="603" t="s">
        <v>1303</v>
      </c>
      <c r="L2" s="572"/>
      <c r="M2" s="397"/>
      <c r="N2" s="167"/>
    </row>
    <row r="3" spans="1:14" s="13" customFormat="1" ht="15" customHeight="1">
      <c r="A3" s="17" t="s">
        <v>1123</v>
      </c>
      <c r="B3" s="15"/>
      <c r="C3" s="15"/>
      <c r="D3" s="15"/>
      <c r="E3" s="608" t="str">
        <f>CAUTAU!A99</f>
        <v>Menominee Tribe</v>
      </c>
      <c r="F3" s="608"/>
      <c r="G3" s="167" t="str">
        <f>LOOKUP(E3,Allocations!A4:A92,Allocations!B4:B92)</f>
        <v>X</v>
      </c>
      <c r="H3" s="15"/>
      <c r="I3" s="15"/>
      <c r="J3" s="15"/>
      <c r="K3" s="603" t="s">
        <v>1304</v>
      </c>
      <c r="L3" s="572"/>
      <c r="M3" s="15"/>
      <c r="N3" s="62"/>
    </row>
    <row r="4" spans="1:14" s="13" customFormat="1" ht="15" customHeight="1">
      <c r="A4" s="17" t="s">
        <v>1125</v>
      </c>
      <c r="B4" s="15"/>
      <c r="C4" s="15"/>
      <c r="D4" s="608" t="e">
        <f>LOOKUP(E5,Date,'Addl Info'!B21:B33)</f>
        <v>#N/A</v>
      </c>
      <c r="E4" s="609"/>
      <c r="F4" s="609"/>
      <c r="G4" s="62"/>
      <c r="H4" s="15"/>
      <c r="I4" s="15"/>
      <c r="J4" s="15"/>
      <c r="K4" s="616" t="s">
        <v>1305</v>
      </c>
      <c r="L4" s="617"/>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616" t="s">
        <v>1306</v>
      </c>
      <c r="L5" s="617"/>
      <c r="M5" s="15"/>
      <c r="N5" s="15"/>
    </row>
    <row r="6" spans="1:14" s="13" customFormat="1" ht="15" customHeight="1">
      <c r="A6" s="17" t="s">
        <v>1127</v>
      </c>
      <c r="B6" s="15"/>
      <c r="C6" s="15"/>
      <c r="D6" s="15"/>
      <c r="E6" s="15"/>
      <c r="F6" s="215" t="s">
        <v>1307</v>
      </c>
      <c r="G6" s="15"/>
      <c r="H6" s="15"/>
      <c r="I6" s="15"/>
      <c r="J6" s="15"/>
      <c r="K6" s="15"/>
      <c r="L6" s="15"/>
      <c r="M6" s="15"/>
      <c r="N6" s="15"/>
    </row>
    <row r="7" spans="1:14" ht="15" customHeight="1">
      <c r="A7" s="606"/>
      <c r="B7" s="607"/>
      <c r="C7" s="607"/>
      <c r="D7" s="607"/>
      <c r="E7" s="607"/>
      <c r="F7" s="607"/>
      <c r="G7" s="607"/>
      <c r="H7" s="607"/>
      <c r="I7" s="607"/>
      <c r="J7" s="607"/>
      <c r="K7" s="607"/>
      <c r="L7" s="607"/>
      <c r="M7" s="397"/>
    </row>
    <row r="8" spans="1:14" s="2" customFormat="1" ht="15" customHeight="1" thickBot="1">
      <c r="A8" s="1"/>
      <c r="B8" s="605" t="s">
        <v>1518</v>
      </c>
      <c r="C8" s="605"/>
      <c r="D8" s="605"/>
      <c r="E8" s="605"/>
      <c r="F8" s="605"/>
      <c r="G8" s="605"/>
      <c r="H8" s="605"/>
      <c r="I8" s="605"/>
      <c r="J8" s="605"/>
    </row>
    <row r="9" spans="1:14" ht="77.099999999999994" customHeight="1">
      <c r="A9" s="187" t="s">
        <v>1128</v>
      </c>
      <c r="B9" s="179" t="s">
        <v>1300</v>
      </c>
      <c r="C9" s="180" t="s">
        <v>346</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18"/>
      <c r="D21" s="318"/>
      <c r="E21" s="318"/>
      <c r="F21" s="318"/>
      <c r="G21" s="318"/>
      <c r="H21" s="318"/>
      <c r="I21" s="318"/>
      <c r="J21" s="318"/>
      <c r="K21" s="318"/>
      <c r="L21" s="319"/>
      <c r="M21" s="308">
        <f>G21+D21+E21+F21+C21+H21+I21+J21+K21+L21-K21-I21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SUM(B10:B34)</f>
        <v>0</v>
      </c>
      <c r="C35" s="316">
        <f t="shared" ref="C35:L35" si="0">SUM(C10:C34)</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08">
        <f>G35+D35+E35+F35+C35+H35+I35+J35+K35+L35-K35-I35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397"/>
      <c r="B38" s="12"/>
      <c r="C38" s="12"/>
      <c r="D38" s="12"/>
      <c r="E38" s="12"/>
      <c r="F38" s="12"/>
      <c r="G38" s="12"/>
      <c r="H38" s="12"/>
      <c r="I38" s="12"/>
      <c r="J38" s="12"/>
      <c r="K38" s="12"/>
      <c r="L38" s="12"/>
      <c r="M38" s="62"/>
    </row>
    <row r="39" spans="1:14" ht="12.9" customHeight="1">
      <c r="A39" s="15" t="s">
        <v>1308</v>
      </c>
      <c r="B39" s="397"/>
      <c r="C39" s="397"/>
      <c r="D39" s="15" t="s">
        <v>1309</v>
      </c>
      <c r="E39" s="218">
        <v>0</v>
      </c>
      <c r="F39" s="397"/>
      <c r="G39" s="15" t="s">
        <v>1310</v>
      </c>
      <c r="H39" s="218">
        <v>0</v>
      </c>
      <c r="I39" s="397"/>
      <c r="J39" s="397"/>
      <c r="K39" s="397"/>
      <c r="L39" s="397"/>
      <c r="M39" s="62"/>
    </row>
    <row r="40" spans="1:14" ht="12.9" customHeight="1">
      <c r="A40" s="397"/>
      <c r="B40" s="397"/>
      <c r="C40" s="397"/>
      <c r="D40" s="397"/>
      <c r="E40" s="397"/>
      <c r="F40" s="397"/>
      <c r="G40" s="397"/>
      <c r="H40" s="397"/>
      <c r="I40" s="397"/>
      <c r="J40" s="397"/>
      <c r="K40" s="397"/>
      <c r="L40" s="397"/>
      <c r="M40" s="62"/>
    </row>
    <row r="41" spans="1:14" ht="12.9" customHeight="1">
      <c r="A41" s="15"/>
      <c r="B41" s="397"/>
      <c r="C41" s="397"/>
      <c r="D41" s="15"/>
      <c r="E41" s="216"/>
      <c r="F41" s="397"/>
      <c r="G41" s="15"/>
      <c r="H41" s="216"/>
      <c r="I41" s="397"/>
      <c r="J41" s="397"/>
      <c r="K41" s="397"/>
      <c r="L41" s="397"/>
      <c r="M41" s="168"/>
    </row>
    <row r="42" spans="1:14" ht="12.9" customHeight="1">
      <c r="A42" s="397"/>
      <c r="B42" s="12"/>
      <c r="C42" s="397"/>
      <c r="D42" s="397"/>
      <c r="E42" s="397"/>
      <c r="F42" s="397"/>
      <c r="G42" s="397"/>
      <c r="H42" s="397"/>
      <c r="I42" s="397"/>
      <c r="J42" s="397"/>
      <c r="K42" s="397"/>
      <c r="L42" s="397"/>
      <c r="M42" s="167"/>
    </row>
    <row r="43" spans="1:14" ht="12.9" customHeight="1">
      <c r="A43" s="397" t="s">
        <v>1161</v>
      </c>
      <c r="B43" s="147" t="s">
        <v>1307</v>
      </c>
      <c r="C43" s="397"/>
      <c r="D43" s="397"/>
      <c r="E43" s="397"/>
      <c r="F43" s="397"/>
      <c r="G43" s="397"/>
      <c r="H43" s="397"/>
      <c r="I43" s="397"/>
      <c r="J43" s="397"/>
      <c r="K43" s="397"/>
      <c r="L43" s="397"/>
      <c r="M43" s="167"/>
      <c r="N43" s="166"/>
    </row>
    <row r="44" spans="1:14" ht="12.9" customHeight="1">
      <c r="A44" s="397"/>
      <c r="B44" s="397"/>
      <c r="C44" s="397"/>
      <c r="D44" s="397"/>
      <c r="E44" s="397"/>
      <c r="F44" s="397"/>
      <c r="G44" s="397"/>
      <c r="H44" s="397"/>
      <c r="I44" s="397"/>
      <c r="J44" s="397"/>
      <c r="K44" s="397"/>
      <c r="L44" s="397"/>
      <c r="M44" s="167"/>
      <c r="N44" s="17"/>
    </row>
    <row r="45" spans="1:14" ht="12.9" customHeight="1">
      <c r="A45" s="397"/>
      <c r="B45" s="11"/>
      <c r="C45" s="17"/>
      <c r="D45" s="11"/>
      <c r="E45" s="25"/>
      <c r="F45" s="25"/>
      <c r="G45" s="397"/>
      <c r="H45" s="397"/>
      <c r="I45" s="397"/>
      <c r="J45" s="397"/>
      <c r="K45" s="397"/>
      <c r="L45" s="397"/>
      <c r="M45" s="167"/>
    </row>
    <row r="46" spans="1:14" ht="12.9" customHeight="1">
      <c r="A46" s="397"/>
      <c r="B46" s="397"/>
      <c r="C46" s="397"/>
      <c r="D46" s="397"/>
      <c r="E46" s="397"/>
      <c r="F46" s="397"/>
      <c r="G46" s="397"/>
      <c r="H46" s="397"/>
      <c r="I46" s="397"/>
      <c r="J46" s="397"/>
      <c r="K46" s="397"/>
      <c r="L46" s="397"/>
      <c r="M46" s="62"/>
      <c r="N46" s="17"/>
    </row>
    <row r="47" spans="1:14" ht="12.9" customHeight="1">
      <c r="A47" s="397" t="s">
        <v>1165</v>
      </c>
      <c r="B47" s="633" t="s">
        <v>1307</v>
      </c>
      <c r="C47" s="574"/>
      <c r="D47" s="574"/>
      <c r="E47" s="574"/>
      <c r="F47" s="574"/>
      <c r="G47" s="574"/>
      <c r="H47" s="574"/>
      <c r="I47" s="574"/>
      <c r="J47" s="397"/>
      <c r="K47" s="397"/>
      <c r="L47" s="397"/>
      <c r="M47" s="62"/>
    </row>
    <row r="48" spans="1:14" ht="12.9" customHeight="1">
      <c r="A48" s="397"/>
      <c r="B48" s="397"/>
      <c r="C48" s="397"/>
      <c r="D48" s="397"/>
      <c r="E48" s="397"/>
      <c r="F48" s="397"/>
      <c r="G48" s="397"/>
      <c r="H48" s="397"/>
      <c r="I48" s="397"/>
      <c r="J48" s="397"/>
      <c r="K48" s="397"/>
      <c r="L48" s="397"/>
      <c r="M48" s="167"/>
    </row>
    <row r="49" spans="1:18" ht="12.9" customHeight="1">
      <c r="A49" s="397"/>
      <c r="B49" s="397"/>
      <c r="C49" s="397"/>
      <c r="D49" s="397"/>
      <c r="E49" s="397"/>
      <c r="F49" s="397"/>
      <c r="G49" s="397"/>
      <c r="H49" s="397"/>
      <c r="I49" s="397"/>
      <c r="J49" s="397"/>
      <c r="K49" s="397"/>
      <c r="L49" s="397"/>
      <c r="M49" s="167"/>
      <c r="O49" s="397"/>
      <c r="P49" s="397"/>
      <c r="Q49" s="397"/>
      <c r="R49" s="397"/>
    </row>
    <row r="50" spans="1:18" s="15" customFormat="1" ht="12.9" customHeight="1">
      <c r="A50" s="15" t="str">
        <f>IF(B50="X","Program Income Carryover","")</f>
        <v/>
      </c>
      <c r="B50" s="227" t="str">
        <f>IF(AND(C34&gt;0,K34&gt;L34),"X","")</f>
        <v/>
      </c>
      <c r="C50" s="600" t="str">
        <f>IF(B50="x","You cannot claim against this contract until all prior year program income has been expended.","")</f>
        <v/>
      </c>
      <c r="D50" s="574"/>
      <c r="E50" s="574"/>
      <c r="F50" s="574"/>
      <c r="G50" s="574"/>
      <c r="H50" s="574"/>
      <c r="I50" s="574"/>
      <c r="M50" s="167" t="str">
        <f>IF(B50="x","X","")</f>
        <v/>
      </c>
      <c r="N50" s="146"/>
      <c r="O50" s="146"/>
      <c r="P50" s="146"/>
      <c r="Q50" s="146"/>
      <c r="R50" s="146"/>
    </row>
    <row r="51" spans="1:18" s="15" customFormat="1" ht="12.9" customHeight="1">
      <c r="A51" s="15" t="e">
        <f>IF(B51="x","Non-Submission Period","")</f>
        <v>#N/A</v>
      </c>
      <c r="B51" s="227" t="e">
        <f>IF(D4="Non-Submission Period","X","")</f>
        <v>#N/A</v>
      </c>
      <c r="C51" s="600" t="e">
        <f>IF(B51="x","You cannot claim against this contract as this is a Non-Submission Period for the contract.","")</f>
        <v>#N/A</v>
      </c>
      <c r="D51" s="574"/>
      <c r="E51" s="574"/>
      <c r="F51" s="574"/>
      <c r="G51" s="574"/>
      <c r="H51" s="574"/>
      <c r="I51" s="574"/>
      <c r="M51" s="167" t="e">
        <f>IF(B51="x","X","")</f>
        <v>#N/A</v>
      </c>
    </row>
    <row r="52" spans="1:18" s="15" customFormat="1" ht="12.9" customHeight="1">
      <c r="A52" s="15" t="str">
        <f>IF(OR(N37="x",N36="x"),"Cell Error","")</f>
        <v/>
      </c>
      <c r="B52" s="156" t="str">
        <f>IF(OR(N37="x",N36="x"),"X","")</f>
        <v/>
      </c>
      <c r="C52" s="601" t="str">
        <f>IF(OR(N37="x",N36="x"),"Double check your columns for '#VALUE!' - this indicates an error on that line item.","")</f>
        <v/>
      </c>
      <c r="D52" s="601"/>
      <c r="E52" s="601"/>
      <c r="F52" s="601"/>
      <c r="G52" s="601"/>
      <c r="H52" s="601"/>
      <c r="I52" s="601"/>
      <c r="J52" s="574"/>
      <c r="M52" s="167" t="str">
        <f>IF(B52="x","X","")</f>
        <v/>
      </c>
    </row>
    <row r="53" spans="1:18" s="15" customFormat="1" ht="13.2">
      <c r="A53" s="15" t="str">
        <f>IF(B53="X","Current Year Program Income","")</f>
        <v/>
      </c>
      <c r="B53" s="227" t="str">
        <f>IF((J37&gt;I37),"X","")</f>
        <v/>
      </c>
      <c r="C53" s="600" t="str">
        <f>IF(B53="x","You cannot claim more in current year program income expended than has been received.","")</f>
        <v/>
      </c>
      <c r="D53" s="574"/>
      <c r="E53" s="574"/>
      <c r="F53" s="574"/>
      <c r="G53" s="574"/>
      <c r="H53" s="574"/>
      <c r="I53" s="574"/>
      <c r="M53" s="167" t="str">
        <f>IF(B53="x","X","")</f>
        <v/>
      </c>
      <c r="N53" s="146"/>
    </row>
    <row r="54" spans="1:18" ht="12.9" customHeight="1">
      <c r="A54" s="397"/>
      <c r="B54" s="397"/>
      <c r="C54" s="397"/>
      <c r="D54" s="397"/>
      <c r="E54" s="397"/>
      <c r="F54" s="397"/>
      <c r="G54" s="397"/>
      <c r="H54" s="397"/>
      <c r="I54" s="397"/>
      <c r="J54" s="397"/>
      <c r="K54" s="397"/>
      <c r="L54" s="397"/>
      <c r="M54" s="397"/>
      <c r="O54" s="397"/>
      <c r="P54" s="397"/>
      <c r="Q54" s="397"/>
      <c r="R54" s="397"/>
    </row>
    <row r="55" spans="1:18" ht="12.9" customHeight="1">
      <c r="A55" s="397"/>
      <c r="B55" s="397"/>
      <c r="C55" s="397"/>
      <c r="D55" s="397"/>
      <c r="E55" s="397"/>
      <c r="F55" s="397"/>
      <c r="G55" s="397"/>
      <c r="H55" s="397"/>
      <c r="I55" s="397"/>
      <c r="J55" s="397"/>
      <c r="K55" s="397"/>
      <c r="L55" s="397"/>
      <c r="M55" s="397"/>
      <c r="O55" s="397"/>
      <c r="P55" s="397"/>
      <c r="Q55" s="397"/>
      <c r="R55" s="397"/>
    </row>
    <row r="56" spans="1:18" ht="12.9" customHeight="1">
      <c r="A56" s="397"/>
      <c r="B56" s="397"/>
      <c r="C56" s="397"/>
      <c r="D56" s="397"/>
      <c r="E56" s="397"/>
      <c r="F56" s="397"/>
      <c r="G56" s="397"/>
      <c r="H56" s="397"/>
      <c r="I56" s="397"/>
      <c r="J56" s="397"/>
      <c r="K56" s="397"/>
      <c r="L56" s="397"/>
      <c r="M56" s="397"/>
      <c r="O56" s="397"/>
      <c r="P56" s="397"/>
      <c r="Q56" s="397"/>
      <c r="R56" s="397"/>
    </row>
    <row r="57" spans="1:18" ht="12.9" customHeight="1">
      <c r="A57" s="397"/>
      <c r="B57" s="397"/>
      <c r="C57" s="397"/>
      <c r="D57" s="397"/>
      <c r="E57" s="397"/>
      <c r="F57" s="397"/>
      <c r="G57" s="397"/>
      <c r="H57" s="397"/>
      <c r="I57" s="397"/>
      <c r="J57" s="397"/>
      <c r="K57" s="397"/>
      <c r="L57" s="397"/>
      <c r="M57" s="397"/>
      <c r="O57" s="397"/>
      <c r="P57" s="397"/>
      <c r="Q57" s="397"/>
      <c r="R57" s="397"/>
    </row>
  </sheetData>
  <sheetProtection password="C3C4" sheet="1" objects="1" scenarios="1"/>
  <customSheetViews>
    <customSheetView guid="{89953FCB-456A-4C2D-8912-B30825F750D3}" fitToPage="1">
      <selection activeCell="D24" sqref="D24:L24"/>
      <pageMargins left="0" right="0" top="0" bottom="0" header="0" footer="0"/>
      <printOptions horizontalCentered="1"/>
      <pageSetup scale="80" orientation="landscape" r:id="rId1"/>
      <headerFooter alignWithMargins="0">
        <oddFooter>&amp;R&amp;8&amp;Z&amp;F</oddFooter>
      </headerFooter>
    </customSheetView>
  </customSheetViews>
  <mergeCells count="17">
    <mergeCell ref="C53:I53"/>
    <mergeCell ref="C50:I50"/>
    <mergeCell ref="C51:I51"/>
    <mergeCell ref="C52:J52"/>
    <mergeCell ref="A1:C1"/>
    <mergeCell ref="A2:B2"/>
    <mergeCell ref="B47:I47"/>
    <mergeCell ref="E5:F5"/>
    <mergeCell ref="A7:L7"/>
    <mergeCell ref="B8:J8"/>
    <mergeCell ref="K4:L4"/>
    <mergeCell ref="K5:L5"/>
    <mergeCell ref="K1:L1"/>
    <mergeCell ref="K2:L2"/>
    <mergeCell ref="E3:F3"/>
    <mergeCell ref="K3:L3"/>
    <mergeCell ref="D4:F4"/>
  </mergeCells>
  <conditionalFormatting sqref="M42">
    <cfRule type="containsText" dxfId="397" priority="55" stopIfTrue="1" operator="containsText" text="Not Ok">
      <formula>NOT(ISERROR(SEARCH("Not Ok",M42)))</formula>
    </cfRule>
  </conditionalFormatting>
  <conditionalFormatting sqref="M42:M45">
    <cfRule type="containsText" dxfId="396" priority="53" stopIfTrue="1" operator="containsText" text="Not Ok">
      <formula>NOT(ISERROR(SEARCH("Not Ok",M42)))</formula>
    </cfRule>
    <cfRule type="containsText" dxfId="395" priority="54" stopIfTrue="1" operator="containsText" text="Not Ok">
      <formula>NOT(ISERROR(SEARCH("Not Ok",M42)))</formula>
    </cfRule>
  </conditionalFormatting>
  <conditionalFormatting sqref="M42:M45">
    <cfRule type="containsText" dxfId="394" priority="52" stopIfTrue="1" operator="containsText" text="Not Ok">
      <formula>NOT(ISERROR(SEARCH("Not Ok",M42)))</formula>
    </cfRule>
  </conditionalFormatting>
  <conditionalFormatting sqref="M41">
    <cfRule type="cellIs" dxfId="393" priority="51" stopIfTrue="1" operator="equal">
      <formula>"You are over budget on expenditures."</formula>
    </cfRule>
  </conditionalFormatting>
  <conditionalFormatting sqref="M41:M45">
    <cfRule type="containsText" dxfId="392" priority="50" operator="containsText" text="Not Ok">
      <formula>NOT(ISERROR(SEARCH("Not Ok",M41)))</formula>
    </cfRule>
  </conditionalFormatting>
  <conditionalFormatting sqref="M48:M49">
    <cfRule type="containsText" dxfId="391" priority="49" operator="containsText" text="You">
      <formula>NOT(ISERROR(SEARCH("You",M48)))</formula>
    </cfRule>
  </conditionalFormatting>
  <conditionalFormatting sqref="M44">
    <cfRule type="containsText" dxfId="390" priority="48" stopIfTrue="1" operator="containsText" text="Not Ok">
      <formula>NOT(ISERROR(SEARCH("Not Ok",M44)))</formula>
    </cfRule>
  </conditionalFormatting>
  <conditionalFormatting sqref="G3">
    <cfRule type="containsText" dxfId="389" priority="44" stopIfTrue="1" operator="containsText" text="Not Ok">
      <formula>NOT(ISERROR(SEARCH("Not Ok",G3)))</formula>
    </cfRule>
    <cfRule type="containsText" dxfId="388" priority="45" stopIfTrue="1" operator="containsText" text="Not Ok">
      <formula>NOT(ISERROR(SEARCH("Not Ok",G3)))</formula>
    </cfRule>
  </conditionalFormatting>
  <conditionalFormatting sqref="G3">
    <cfRule type="containsText" dxfId="387" priority="43" stopIfTrue="1" operator="containsText" text="Not Ok">
      <formula>NOT(ISERROR(SEARCH("Not Ok",G3)))</formula>
    </cfRule>
  </conditionalFormatting>
  <conditionalFormatting sqref="N45:N47">
    <cfRule type="containsText" dxfId="386" priority="33" stopIfTrue="1" operator="containsText" text="Not Ok">
      <formula>NOT(ISERROR(SEARCH("Not Ok",N45)))</formula>
    </cfRule>
  </conditionalFormatting>
  <conditionalFormatting sqref="N43:N47">
    <cfRule type="containsText" dxfId="385" priority="32" operator="containsText" text="Not Ok">
      <formula>NOT(ISERROR(SEARCH("Not Ok",N43)))</formula>
    </cfRule>
  </conditionalFormatting>
  <conditionalFormatting sqref="M21">
    <cfRule type="containsText" dxfId="384" priority="19" operator="containsText" text="#">
      <formula>NOT(ISERROR(SEARCH("#",M21)))</formula>
    </cfRule>
  </conditionalFormatting>
  <conditionalFormatting sqref="B36:L36">
    <cfRule type="containsText" dxfId="383" priority="18" operator="containsText" text="Error">
      <formula>NOT(ISERROR(SEARCH("Error",B36)))</formula>
    </cfRule>
  </conditionalFormatting>
  <conditionalFormatting sqref="A36">
    <cfRule type="containsText" dxfId="382" priority="17" operator="containsText" text="Enter">
      <formula>NOT(ISERROR(SEARCH("Enter",A36)))</formula>
    </cfRule>
  </conditionalFormatting>
  <conditionalFormatting sqref="C50:C51">
    <cfRule type="containsText" dxfId="381" priority="15" operator="containsText" text="You">
      <formula>NOT(ISERROR(SEARCH("You",C50)))</formula>
    </cfRule>
  </conditionalFormatting>
  <conditionalFormatting sqref="M50:M51">
    <cfRule type="containsText" dxfId="380" priority="14" operator="containsText" text="You">
      <formula>NOT(ISERROR(SEARCH("You",M50)))</formula>
    </cfRule>
  </conditionalFormatting>
  <conditionalFormatting sqref="C52">
    <cfRule type="containsText" dxfId="379" priority="13" operator="containsText" text="Double">
      <formula>NOT(ISERROR(SEARCH("Double",C52)))</formula>
    </cfRule>
  </conditionalFormatting>
  <conditionalFormatting sqref="M52">
    <cfRule type="containsText" dxfId="378" priority="12" operator="containsText" text="You">
      <formula>NOT(ISERROR(SEARCH("You",M52)))</formula>
    </cfRule>
  </conditionalFormatting>
  <conditionalFormatting sqref="B50">
    <cfRule type="cellIs" dxfId="377" priority="11" stopIfTrue="1" operator="equal">
      <formula>"You cannot claim against this contract until all prior year program income has been expended."</formula>
    </cfRule>
  </conditionalFormatting>
  <conditionalFormatting sqref="B53">
    <cfRule type="cellIs" dxfId="376" priority="10" stopIfTrue="1" operator="equal">
      <formula>"You cannot claim against this contract until all prior year program income has been expended."</formula>
    </cfRule>
  </conditionalFormatting>
  <conditionalFormatting sqref="C53">
    <cfRule type="containsText" dxfId="375" priority="9" operator="containsText" text="You">
      <formula>NOT(ISERROR(SEARCH("You",C53)))</formula>
    </cfRule>
  </conditionalFormatting>
  <conditionalFormatting sqref="M53">
    <cfRule type="containsText" dxfId="374" priority="8" operator="containsText" text="You">
      <formula>NOT(ISERROR(SEARCH("You",M53)))</formula>
    </cfRule>
  </conditionalFormatting>
  <conditionalFormatting sqref="A1">
    <cfRule type="containsText" dxfId="373" priority="7" operator="containsText" text="End">
      <formula>NOT(ISERROR(SEARCH("End",A1)))</formula>
    </cfRule>
  </conditionalFormatting>
  <conditionalFormatting sqref="A1">
    <cfRule type="containsText" dxfId="372" priority="6" operator="containsText" text="End">
      <formula>NOT(ISERROR(SEARCH("End",A1)))</formula>
    </cfRule>
  </conditionalFormatting>
  <conditionalFormatting sqref="A2:B2">
    <cfRule type="containsText" dxfId="371" priority="5" operator="containsText" text="Please">
      <formula>NOT(ISERROR(SEARCH("Please",A2)))</formula>
    </cfRule>
  </conditionalFormatting>
  <conditionalFormatting sqref="N1">
    <cfRule type="containsText" dxfId="370" priority="4" operator="containsText" text="End">
      <formula>NOT(ISERROR(SEARCH("End",N1)))</formula>
    </cfRule>
  </conditionalFormatting>
  <conditionalFormatting sqref="N1">
    <cfRule type="containsText" dxfId="369" priority="3" operator="containsText" text="End">
      <formula>NOT(ISERROR(SEARCH("End",N1)))</formula>
    </cfRule>
  </conditionalFormatting>
  <conditionalFormatting sqref="N2">
    <cfRule type="containsText" dxfId="368" priority="2" operator="containsText" text="Please">
      <formula>NOT(ISERROR(SEARCH("Please",N2)))</formula>
    </cfRule>
  </conditionalFormatting>
  <conditionalFormatting sqref="M35">
    <cfRule type="containsText" dxfId="367" priority="1" operator="containsText" text="#">
      <formula>NOT(ISERROR(SEARCH("#",M35)))</formula>
    </cfRule>
  </conditionalFormatting>
  <dataValidations count="2">
    <dataValidation type="whole" allowBlank="1" showInputMessage="1" showErrorMessage="1" errorTitle="Whole Number Validation" error="You must enter all dollars as whole numbers - no decimals (cents) or spaces." sqref="E39:H39 B20:L20 B22:L22" xr:uid="{5325AF24-96AA-48F2-85E9-957F05B917BC}">
      <formula1>0</formula1>
      <formula2>1000000</formula2>
    </dataValidation>
    <dataValidation type="whole" allowBlank="1" showInputMessage="1" showErrorMessage="1" errorTitle="Whole Number Validation" error="You must enter all dollars as whole numbers - no decimals (cents) or spaces." sqref="B21:L21" xr:uid="{DAD1AE27-F343-4E4E-BD66-49099C10CF5D}">
      <formula1>-100000000</formula1>
      <formula2>100000000</formula2>
    </dataValidation>
  </dataValidations>
  <printOptions horizontalCentered="1"/>
  <pageMargins left="0.25" right="0.25" top="0.25" bottom="0.25" header="0" footer="0"/>
  <pageSetup scale="74" orientation="landscape" r:id="rId2"/>
  <headerFooter alignWithMargins="0">
    <oddFooter>&amp;R&amp;8&amp;Z&amp;F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1:R60"/>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31.6640625" customWidth="1"/>
    <col min="2" max="12" width="12.6640625" customWidth="1"/>
    <col min="13" max="13" width="15.664062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1311</v>
      </c>
      <c r="L1" s="572"/>
      <c r="M1" s="397"/>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1312</v>
      </c>
      <c r="L2" s="572"/>
      <c r="M2" s="397"/>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34" t="s">
        <v>1313</v>
      </c>
      <c r="L3" s="635"/>
      <c r="M3" s="15"/>
      <c r="N3" s="62"/>
    </row>
    <row r="4" spans="1:14" s="13" customFormat="1" ht="15" customHeight="1">
      <c r="A4" s="17" t="s">
        <v>1125</v>
      </c>
      <c r="B4" s="15"/>
      <c r="C4" s="15"/>
      <c r="D4" s="608" t="e">
        <f>LOOKUP(E5,Date,'Addl Info'!B21:B33)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15"/>
      <c r="L5" s="15"/>
      <c r="M5" s="15"/>
      <c r="N5" s="15"/>
    </row>
    <row r="6" spans="1:14" s="13" customFormat="1" ht="15" customHeight="1">
      <c r="A6" s="17" t="s">
        <v>1127</v>
      </c>
      <c r="B6" s="15"/>
      <c r="C6" s="15"/>
      <c r="D6" s="15"/>
      <c r="E6" s="15"/>
      <c r="F6" s="152" t="e">
        <f>IF(D4="Non-Submission Period",0,LOOKUP(E3,CAUTAU,Allocations!L4:L92))</f>
        <v>#N/A</v>
      </c>
      <c r="G6" s="15"/>
      <c r="H6" s="15"/>
      <c r="I6" s="17"/>
      <c r="J6" s="15"/>
      <c r="K6" s="15"/>
      <c r="L6" s="15"/>
      <c r="M6" s="15"/>
      <c r="N6" s="15"/>
    </row>
    <row r="7" spans="1:14" ht="15" customHeight="1">
      <c r="A7" s="606"/>
      <c r="B7" s="607"/>
      <c r="C7" s="607"/>
      <c r="D7" s="607"/>
      <c r="E7" s="607"/>
      <c r="F7" s="607"/>
      <c r="G7" s="607"/>
      <c r="H7" s="607"/>
      <c r="I7" s="607"/>
      <c r="J7" s="607"/>
      <c r="K7" s="607"/>
      <c r="L7" s="607"/>
      <c r="M7" s="397"/>
    </row>
    <row r="8" spans="1:14" s="2" customFormat="1" ht="15" customHeight="1" thickBot="1">
      <c r="A8" s="1"/>
      <c r="B8" s="605" t="s">
        <v>1519</v>
      </c>
      <c r="C8" s="573"/>
      <c r="D8" s="573"/>
      <c r="E8" s="573"/>
      <c r="F8" s="573"/>
      <c r="G8" s="573"/>
      <c r="H8" s="573"/>
      <c r="I8" s="573"/>
      <c r="J8" s="573"/>
    </row>
    <row r="9" spans="1:14" ht="77.099999999999994" customHeight="1">
      <c r="A9" s="178" t="s">
        <v>1128</v>
      </c>
      <c r="B9" s="179" t="s">
        <v>1314</v>
      </c>
      <c r="C9" s="180" t="s">
        <v>349</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11"/>
      <c r="N10" s="225"/>
    </row>
    <row r="11" spans="1:14" ht="12.9" customHeight="1">
      <c r="A11" s="181" t="s">
        <v>1139</v>
      </c>
      <c r="B11" s="323"/>
      <c r="C11" s="323"/>
      <c r="D11" s="323"/>
      <c r="E11" s="323"/>
      <c r="F11" s="323"/>
      <c r="G11" s="323"/>
      <c r="H11" s="323"/>
      <c r="I11" s="323"/>
      <c r="J11" s="323"/>
      <c r="K11" s="323"/>
      <c r="L11" s="324"/>
      <c r="M11" s="311"/>
      <c r="N11" s="225"/>
    </row>
    <row r="12" spans="1:14" ht="12.9" customHeight="1">
      <c r="A12" s="181" t="s">
        <v>1140</v>
      </c>
      <c r="B12" s="323"/>
      <c r="C12" s="323"/>
      <c r="D12" s="323"/>
      <c r="E12" s="323"/>
      <c r="F12" s="323"/>
      <c r="G12" s="323"/>
      <c r="H12" s="323"/>
      <c r="I12" s="323"/>
      <c r="J12" s="323"/>
      <c r="K12" s="323"/>
      <c r="L12" s="324"/>
      <c r="M12" s="311"/>
      <c r="N12" s="225"/>
    </row>
    <row r="13" spans="1:14" ht="12.9" customHeight="1">
      <c r="A13" s="181" t="s">
        <v>1141</v>
      </c>
      <c r="B13" s="323"/>
      <c r="C13" s="323"/>
      <c r="D13" s="323"/>
      <c r="E13" s="323"/>
      <c r="F13" s="323"/>
      <c r="G13" s="323"/>
      <c r="H13" s="323"/>
      <c r="I13" s="323"/>
      <c r="J13" s="323"/>
      <c r="K13" s="323"/>
      <c r="L13" s="324"/>
      <c r="M13" s="311"/>
      <c r="N13" s="225"/>
    </row>
    <row r="14" spans="1:14" ht="12.9" customHeight="1">
      <c r="A14" s="181" t="s">
        <v>1142</v>
      </c>
      <c r="B14" s="323"/>
      <c r="C14" s="323"/>
      <c r="D14" s="323"/>
      <c r="E14" s="323"/>
      <c r="F14" s="323"/>
      <c r="G14" s="323"/>
      <c r="H14" s="323"/>
      <c r="I14" s="323"/>
      <c r="J14" s="323"/>
      <c r="K14" s="323"/>
      <c r="L14" s="324"/>
      <c r="M14" s="311"/>
      <c r="N14" s="225"/>
    </row>
    <row r="15" spans="1:14" ht="12.9" customHeight="1">
      <c r="A15" s="181" t="s">
        <v>1143</v>
      </c>
      <c r="B15" s="323"/>
      <c r="C15" s="323"/>
      <c r="D15" s="323"/>
      <c r="E15" s="323"/>
      <c r="F15" s="323"/>
      <c r="G15" s="323"/>
      <c r="H15" s="323"/>
      <c r="I15" s="323"/>
      <c r="J15" s="323"/>
      <c r="K15" s="323"/>
      <c r="L15" s="324"/>
      <c r="M15" s="311"/>
      <c r="N15" s="225"/>
    </row>
    <row r="16" spans="1:14" ht="12.9" customHeight="1">
      <c r="A16" s="181" t="s">
        <v>1144</v>
      </c>
      <c r="B16" s="323"/>
      <c r="C16" s="323"/>
      <c r="D16" s="323"/>
      <c r="E16" s="323"/>
      <c r="F16" s="323"/>
      <c r="G16" s="323"/>
      <c r="H16" s="323"/>
      <c r="I16" s="323"/>
      <c r="J16" s="323"/>
      <c r="K16" s="323"/>
      <c r="L16" s="324"/>
      <c r="M16" s="311"/>
      <c r="N16" s="225"/>
    </row>
    <row r="17" spans="1:14" ht="12.9" customHeight="1">
      <c r="A17" s="181" t="s">
        <v>1145</v>
      </c>
      <c r="B17" s="323"/>
      <c r="C17" s="323"/>
      <c r="D17" s="323"/>
      <c r="E17" s="323"/>
      <c r="F17" s="323"/>
      <c r="G17" s="323"/>
      <c r="H17" s="323"/>
      <c r="I17" s="323"/>
      <c r="J17" s="323"/>
      <c r="K17" s="323"/>
      <c r="L17" s="324"/>
      <c r="M17" s="311"/>
      <c r="N17" s="225"/>
    </row>
    <row r="18" spans="1:14" ht="12.9" customHeight="1">
      <c r="A18" s="181" t="s">
        <v>1146</v>
      </c>
      <c r="B18" s="323"/>
      <c r="C18" s="323"/>
      <c r="D18" s="323"/>
      <c r="E18" s="323"/>
      <c r="F18" s="323"/>
      <c r="G18" s="323"/>
      <c r="H18" s="323"/>
      <c r="I18" s="323"/>
      <c r="J18" s="323"/>
      <c r="K18" s="323"/>
      <c r="L18" s="324"/>
      <c r="M18" s="311"/>
      <c r="N18" s="225"/>
    </row>
    <row r="19" spans="1:14" ht="12.9" customHeight="1">
      <c r="A19" s="181" t="s">
        <v>1194</v>
      </c>
      <c r="B19" s="323"/>
      <c r="C19" s="323"/>
      <c r="D19" s="323"/>
      <c r="E19" s="323"/>
      <c r="F19" s="323"/>
      <c r="G19" s="323"/>
      <c r="H19" s="323"/>
      <c r="I19" s="323"/>
      <c r="J19" s="323"/>
      <c r="K19" s="323"/>
      <c r="L19" s="324"/>
      <c r="M19" s="311"/>
      <c r="N19" s="225"/>
    </row>
    <row r="20" spans="1:14" ht="12.9" customHeight="1">
      <c r="A20" s="181" t="s">
        <v>1195</v>
      </c>
      <c r="B20" s="323"/>
      <c r="C20" s="323"/>
      <c r="D20" s="323"/>
      <c r="E20" s="323"/>
      <c r="F20" s="323"/>
      <c r="G20" s="323"/>
      <c r="H20" s="323"/>
      <c r="I20" s="323"/>
      <c r="J20" s="323"/>
      <c r="K20" s="323"/>
      <c r="L20" s="324"/>
      <c r="M20" s="311"/>
      <c r="N20" s="225"/>
    </row>
    <row r="21" spans="1:14" ht="12.9" customHeight="1">
      <c r="A21" s="181" t="s">
        <v>1149</v>
      </c>
      <c r="B21" s="323"/>
      <c r="C21" s="323"/>
      <c r="D21" s="323"/>
      <c r="E21" s="323"/>
      <c r="F21" s="323"/>
      <c r="G21" s="323"/>
      <c r="H21" s="323"/>
      <c r="I21" s="323"/>
      <c r="J21" s="323"/>
      <c r="K21" s="323"/>
      <c r="L21" s="324"/>
      <c r="M21" s="311"/>
      <c r="N21" s="225"/>
    </row>
    <row r="22" spans="1:14" ht="12.9" customHeight="1">
      <c r="A22" s="181" t="s">
        <v>1150</v>
      </c>
      <c r="B22" s="323"/>
      <c r="C22" s="323"/>
      <c r="D22" s="323"/>
      <c r="E22" s="323"/>
      <c r="F22" s="323"/>
      <c r="G22" s="323"/>
      <c r="H22" s="323"/>
      <c r="I22" s="323"/>
      <c r="J22" s="323"/>
      <c r="K22" s="323"/>
      <c r="L22" s="324"/>
      <c r="M22" s="311"/>
      <c r="N22" s="225"/>
    </row>
    <row r="23" spans="1:14" ht="12.9" customHeight="1">
      <c r="A23" s="181" t="s">
        <v>1151</v>
      </c>
      <c r="B23" s="323"/>
      <c r="C23" s="323"/>
      <c r="D23" s="323"/>
      <c r="E23" s="323"/>
      <c r="F23" s="323"/>
      <c r="G23" s="323"/>
      <c r="H23" s="323"/>
      <c r="I23" s="323"/>
      <c r="J23" s="323"/>
      <c r="K23" s="323"/>
      <c r="L23" s="324"/>
      <c r="M23" s="311"/>
      <c r="N23" s="225"/>
    </row>
    <row r="24" spans="1:14" ht="12.9" customHeight="1">
      <c r="A24" s="181" t="s">
        <v>1152</v>
      </c>
      <c r="B24" s="323"/>
      <c r="C24" s="323"/>
      <c r="D24" s="323"/>
      <c r="E24" s="323"/>
      <c r="F24" s="323"/>
      <c r="G24" s="323"/>
      <c r="H24" s="323"/>
      <c r="I24" s="323"/>
      <c r="J24" s="323"/>
      <c r="K24" s="323"/>
      <c r="L24" s="324"/>
      <c r="M24" s="311"/>
      <c r="N24" s="225"/>
    </row>
    <row r="25" spans="1:14" ht="12.9" customHeight="1">
      <c r="A25" s="191" t="s">
        <v>1196</v>
      </c>
      <c r="B25" s="323"/>
      <c r="C25" s="323"/>
      <c r="D25" s="323"/>
      <c r="E25" s="323"/>
      <c r="F25" s="323"/>
      <c r="G25" s="323"/>
      <c r="H25" s="323"/>
      <c r="I25" s="323"/>
      <c r="J25" s="323"/>
      <c r="K25" s="323"/>
      <c r="L25" s="324"/>
      <c r="M25" s="311"/>
      <c r="N25" s="225"/>
    </row>
    <row r="26" spans="1:14" ht="12.9" customHeight="1">
      <c r="A26" s="181" t="s">
        <v>1197</v>
      </c>
      <c r="B26" s="323"/>
      <c r="C26" s="323"/>
      <c r="D26" s="323"/>
      <c r="E26" s="323"/>
      <c r="F26" s="323"/>
      <c r="G26" s="323"/>
      <c r="H26" s="323"/>
      <c r="I26" s="323"/>
      <c r="J26" s="323"/>
      <c r="K26" s="323"/>
      <c r="L26" s="324"/>
      <c r="M26" s="311"/>
      <c r="N26" s="225"/>
    </row>
    <row r="27" spans="1:14" ht="12.9" customHeight="1">
      <c r="A27" s="181" t="s">
        <v>1315</v>
      </c>
      <c r="B27" s="332"/>
      <c r="C27" s="332"/>
      <c r="D27" s="323"/>
      <c r="E27" s="323"/>
      <c r="F27" s="332"/>
      <c r="G27" s="332"/>
      <c r="H27" s="332"/>
      <c r="I27" s="323"/>
      <c r="J27" s="323"/>
      <c r="K27" s="323"/>
      <c r="L27" s="324"/>
      <c r="M27" s="308">
        <f>C27+F27+G27+H27</f>
        <v>0</v>
      </c>
      <c r="N27" s="225"/>
    </row>
    <row r="28" spans="1:14" ht="12.9" customHeight="1">
      <c r="A28" s="181"/>
      <c r="B28" s="323"/>
      <c r="C28" s="323"/>
      <c r="D28" s="323"/>
      <c r="E28" s="323"/>
      <c r="F28" s="323"/>
      <c r="G28" s="323"/>
      <c r="H28" s="323"/>
      <c r="I28" s="323"/>
      <c r="J28" s="323"/>
      <c r="K28" s="323"/>
      <c r="L28" s="324"/>
      <c r="M28" s="311"/>
      <c r="N28" s="225"/>
    </row>
    <row r="29" spans="1:14" ht="12.9" customHeight="1">
      <c r="A29" s="181"/>
      <c r="B29" s="323"/>
      <c r="C29" s="323"/>
      <c r="D29" s="323"/>
      <c r="E29" s="323"/>
      <c r="F29" s="323"/>
      <c r="G29" s="323"/>
      <c r="H29" s="323"/>
      <c r="I29" s="323"/>
      <c r="J29" s="323"/>
      <c r="K29" s="323"/>
      <c r="L29" s="324"/>
      <c r="M29" s="311"/>
      <c r="N29" s="225"/>
    </row>
    <row r="30" spans="1:14" ht="12.9" customHeight="1">
      <c r="A30" s="181"/>
      <c r="B30" s="323"/>
      <c r="C30" s="323"/>
      <c r="D30" s="323"/>
      <c r="E30" s="323"/>
      <c r="F30" s="323"/>
      <c r="G30" s="323"/>
      <c r="H30" s="323"/>
      <c r="I30" s="323"/>
      <c r="J30" s="323"/>
      <c r="K30" s="323"/>
      <c r="L30" s="324"/>
      <c r="M30" s="311"/>
      <c r="N30" s="225"/>
    </row>
    <row r="31" spans="1:14" ht="12.9" customHeight="1">
      <c r="A31" s="181"/>
      <c r="B31" s="323"/>
      <c r="C31" s="323"/>
      <c r="D31" s="323"/>
      <c r="E31" s="323"/>
      <c r="F31" s="323"/>
      <c r="G31" s="323"/>
      <c r="H31" s="323"/>
      <c r="I31" s="323"/>
      <c r="J31" s="323"/>
      <c r="K31" s="323"/>
      <c r="L31" s="324"/>
      <c r="M31" s="311"/>
      <c r="N31" s="225"/>
    </row>
    <row r="32" spans="1:14" ht="12.9" customHeight="1">
      <c r="A32" s="181"/>
      <c r="B32" s="323"/>
      <c r="C32" s="323"/>
      <c r="D32" s="323"/>
      <c r="E32" s="323"/>
      <c r="F32" s="323"/>
      <c r="G32" s="323"/>
      <c r="H32" s="323"/>
      <c r="I32" s="323"/>
      <c r="J32" s="323"/>
      <c r="K32" s="323"/>
      <c r="L32" s="324"/>
      <c r="M32" s="311"/>
      <c r="N32" s="225"/>
    </row>
    <row r="33" spans="1:14" ht="12.9" customHeight="1">
      <c r="A33" s="181"/>
      <c r="B33" s="323"/>
      <c r="C33" s="323"/>
      <c r="D33" s="323"/>
      <c r="E33" s="323"/>
      <c r="F33" s="323"/>
      <c r="G33" s="323"/>
      <c r="H33" s="323"/>
      <c r="I33" s="323"/>
      <c r="J33" s="323"/>
      <c r="K33" s="323"/>
      <c r="L33" s="324"/>
      <c r="M33" s="311"/>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SUM(B10:B34)</f>
        <v>0</v>
      </c>
      <c r="C35" s="316">
        <f t="shared" ref="C35:L35" si="0">SUM(C10:C34)</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08">
        <f>C35+F35+G35+H35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397"/>
      <c r="B38" s="12"/>
      <c r="C38" s="12"/>
      <c r="D38" s="12"/>
      <c r="E38" s="12"/>
      <c r="F38" s="12"/>
      <c r="G38" s="12"/>
      <c r="H38" s="12"/>
      <c r="I38" s="12"/>
      <c r="J38" s="12"/>
      <c r="K38" s="12"/>
      <c r="L38" s="12"/>
      <c r="M38" s="62"/>
    </row>
    <row r="39" spans="1:14" ht="12.9" customHeight="1">
      <c r="A39" s="397"/>
      <c r="B39" s="12"/>
      <c r="C39" s="12"/>
      <c r="D39" s="12"/>
      <c r="E39" s="12"/>
      <c r="F39" s="12"/>
      <c r="G39" s="12"/>
      <c r="H39" s="12"/>
      <c r="I39" s="12"/>
      <c r="J39" s="12"/>
      <c r="K39" s="12"/>
      <c r="L39" s="12"/>
      <c r="M39" s="62"/>
    </row>
    <row r="40" spans="1:14" ht="12.9" customHeight="1">
      <c r="A40" s="397"/>
      <c r="B40" s="12"/>
      <c r="C40" s="12"/>
      <c r="D40" s="12"/>
      <c r="E40" s="12"/>
      <c r="F40" s="12"/>
      <c r="G40" s="12"/>
      <c r="H40" s="12"/>
      <c r="I40" s="12"/>
      <c r="J40" s="12"/>
      <c r="K40" s="12"/>
      <c r="L40" s="12"/>
      <c r="M40" s="62"/>
    </row>
    <row r="41" spans="1:14" ht="12.9" customHeight="1">
      <c r="A41" s="397"/>
      <c r="B41" s="12"/>
      <c r="C41" s="12"/>
      <c r="D41" s="12"/>
      <c r="E41" s="12"/>
      <c r="F41" s="12"/>
      <c r="G41" s="12"/>
      <c r="H41" s="12"/>
      <c r="I41" s="12"/>
      <c r="J41" s="12"/>
      <c r="K41" s="12"/>
      <c r="L41" s="12"/>
      <c r="M41" s="62"/>
    </row>
    <row r="42" spans="1:14" ht="12.9" customHeight="1">
      <c r="A42" s="397"/>
      <c r="B42" s="12"/>
      <c r="C42" s="12"/>
      <c r="D42" s="12"/>
      <c r="E42" s="12"/>
      <c r="F42" s="12"/>
      <c r="G42" s="12"/>
      <c r="H42" s="12"/>
      <c r="I42" s="12"/>
      <c r="J42" s="12"/>
      <c r="K42" s="12"/>
      <c r="L42" s="12"/>
      <c r="M42" s="168"/>
    </row>
    <row r="43" spans="1:14" ht="12.9" customHeight="1">
      <c r="A43" s="15" t="s">
        <v>1161</v>
      </c>
      <c r="B43" s="147" t="e">
        <f>(F6-C35)</f>
        <v>#N/A</v>
      </c>
      <c r="C43" s="610" t="e">
        <f>IF(F6-C35&lt;0,"Not Ok - You are over budget on expenditures.","")</f>
        <v>#N/A</v>
      </c>
      <c r="D43" s="611"/>
      <c r="E43" s="611"/>
      <c r="F43" s="574"/>
      <c r="G43" s="15"/>
      <c r="H43" s="15"/>
      <c r="I43" s="15"/>
      <c r="J43" s="15"/>
      <c r="K43" s="15"/>
      <c r="L43" s="15"/>
      <c r="M43" s="368" t="str">
        <f>IF(ISNUMBER(SEARCH("Not Ok",C43)), "X", "")</f>
        <v/>
      </c>
      <c r="N43" s="166"/>
    </row>
    <row r="44" spans="1:14" ht="12.9" customHeight="1">
      <c r="A44" s="15"/>
      <c r="B44" s="159"/>
      <c r="C44" s="601"/>
      <c r="D44" s="601"/>
      <c r="E44" s="601"/>
      <c r="F44" s="601"/>
      <c r="G44" s="601"/>
      <c r="H44" s="601"/>
      <c r="I44" s="601"/>
      <c r="J44" s="601"/>
      <c r="K44" s="601"/>
      <c r="L44" s="601"/>
      <c r="M44" s="167"/>
      <c r="N44" s="17"/>
    </row>
    <row r="45" spans="1:14" ht="12.9" customHeight="1">
      <c r="A45" s="15"/>
      <c r="B45" s="159"/>
      <c r="C45" s="601"/>
      <c r="D45" s="602"/>
      <c r="E45" s="602"/>
      <c r="F45" s="602"/>
      <c r="G45" s="602"/>
      <c r="H45" s="602"/>
      <c r="I45" s="602"/>
      <c r="J45" s="15"/>
      <c r="K45" s="15"/>
      <c r="L45" s="15"/>
      <c r="M45" s="167"/>
    </row>
    <row r="46" spans="1:14" ht="12.9" customHeight="1">
      <c r="A46" s="15"/>
      <c r="B46" s="159"/>
      <c r="C46" s="601"/>
      <c r="D46" s="601"/>
      <c r="E46" s="601"/>
      <c r="F46" s="601"/>
      <c r="G46" s="601"/>
      <c r="H46" s="601"/>
      <c r="I46" s="601"/>
      <c r="J46" s="601"/>
      <c r="K46" s="601"/>
      <c r="L46" s="601"/>
      <c r="M46" s="167"/>
      <c r="N46" s="17"/>
    </row>
    <row r="47" spans="1:14" ht="12.9" customHeight="1">
      <c r="A47" s="15"/>
      <c r="B47" s="147"/>
      <c r="C47" s="601"/>
      <c r="D47" s="602"/>
      <c r="E47" s="602"/>
      <c r="F47" s="602"/>
      <c r="G47" s="602"/>
      <c r="H47" s="602"/>
      <c r="I47" s="602"/>
      <c r="J47" s="15"/>
      <c r="K47" s="15"/>
      <c r="L47" s="15"/>
      <c r="M47" s="167"/>
    </row>
    <row r="48" spans="1:14" ht="12.9" customHeight="1">
      <c r="A48" s="15"/>
      <c r="B48" s="217"/>
      <c r="C48" s="15"/>
      <c r="D48" s="15"/>
      <c r="E48" s="15"/>
      <c r="F48" s="15"/>
      <c r="G48" s="15"/>
      <c r="H48" s="15"/>
      <c r="I48" s="15"/>
      <c r="J48" s="15"/>
      <c r="K48" s="15"/>
      <c r="L48" s="15"/>
      <c r="M48" s="62"/>
    </row>
    <row r="49" spans="1:18" ht="12.9" customHeight="1">
      <c r="A49" s="15"/>
      <c r="B49" s="147"/>
      <c r="C49" s="15"/>
      <c r="D49" s="15"/>
      <c r="E49" s="15"/>
      <c r="F49" s="15"/>
      <c r="G49" s="15"/>
      <c r="H49" s="15"/>
      <c r="I49" s="15"/>
      <c r="J49" s="15"/>
      <c r="K49" s="15"/>
      <c r="L49" s="15"/>
      <c r="M49" s="62"/>
      <c r="O49" s="397"/>
      <c r="P49" s="397"/>
      <c r="Q49" s="397"/>
      <c r="R49" s="397"/>
    </row>
    <row r="50" spans="1:18" s="15" customFormat="1" ht="12.9" customHeight="1">
      <c r="B50" s="227"/>
      <c r="C50" s="600"/>
      <c r="D50" s="574"/>
      <c r="E50" s="574"/>
      <c r="F50" s="574"/>
      <c r="G50" s="574"/>
      <c r="H50" s="574"/>
      <c r="I50" s="574"/>
      <c r="M50" s="167"/>
      <c r="N50" s="146"/>
      <c r="O50" s="146"/>
      <c r="P50" s="146"/>
      <c r="Q50" s="146"/>
      <c r="R50" s="146"/>
    </row>
    <row r="51" spans="1:18" s="15" customFormat="1" ht="12.9" customHeight="1">
      <c r="B51" s="227"/>
      <c r="C51" s="600"/>
      <c r="D51" s="574"/>
      <c r="E51" s="574"/>
      <c r="F51" s="574"/>
      <c r="G51" s="574"/>
      <c r="H51" s="574"/>
      <c r="I51" s="574"/>
      <c r="M51" s="167"/>
    </row>
    <row r="52" spans="1:18" s="15" customFormat="1" ht="13.2">
      <c r="B52" s="227"/>
      <c r="C52" s="600"/>
      <c r="D52" s="574"/>
      <c r="E52" s="574"/>
      <c r="F52" s="574"/>
      <c r="G52" s="574"/>
      <c r="H52" s="574"/>
      <c r="I52" s="574"/>
      <c r="M52" s="167"/>
      <c r="N52" s="146"/>
    </row>
    <row r="53" spans="1:18" ht="12.9" customHeight="1">
      <c r="A53" s="397"/>
      <c r="B53" s="397"/>
      <c r="C53" s="397"/>
      <c r="D53" s="397"/>
      <c r="E53" s="397"/>
      <c r="F53" s="397"/>
      <c r="G53" s="397"/>
      <c r="H53" s="397"/>
      <c r="I53" s="397"/>
      <c r="J53" s="397"/>
      <c r="K53" s="397"/>
      <c r="L53" s="397"/>
      <c r="M53" s="15"/>
      <c r="O53" s="397"/>
      <c r="P53" s="397"/>
      <c r="Q53" s="397"/>
      <c r="R53" s="397"/>
    </row>
    <row r="54" spans="1:18" ht="12.9" customHeight="1">
      <c r="A54" s="397"/>
      <c r="B54" s="397"/>
      <c r="C54" s="397"/>
      <c r="D54" s="397"/>
      <c r="E54" s="397"/>
      <c r="F54" s="397"/>
      <c r="G54" s="397"/>
      <c r="H54" s="397"/>
      <c r="I54" s="397"/>
      <c r="J54" s="397"/>
      <c r="K54" s="397"/>
      <c r="L54" s="397"/>
      <c r="M54" s="15"/>
      <c r="O54" s="397"/>
      <c r="P54" s="397"/>
      <c r="Q54" s="397"/>
      <c r="R54" s="397"/>
    </row>
    <row r="55" spans="1:18" ht="12.9" customHeight="1">
      <c r="A55" s="397"/>
      <c r="B55" s="397"/>
      <c r="C55" s="397"/>
      <c r="D55" s="397"/>
      <c r="E55" s="397"/>
      <c r="F55" s="397"/>
      <c r="G55" s="397"/>
      <c r="H55" s="397"/>
      <c r="I55" s="397"/>
      <c r="J55" s="397"/>
      <c r="K55" s="397"/>
      <c r="L55" s="397"/>
      <c r="M55" s="397"/>
      <c r="O55" s="397"/>
      <c r="P55" s="397"/>
      <c r="Q55" s="397"/>
      <c r="R55" s="397"/>
    </row>
    <row r="56" spans="1:18" ht="12.9" customHeight="1">
      <c r="A56" s="397"/>
      <c r="B56" s="397"/>
      <c r="C56" s="397"/>
      <c r="D56" s="397"/>
      <c r="E56" s="397"/>
      <c r="F56" s="397"/>
      <c r="G56" s="397"/>
      <c r="H56" s="397"/>
      <c r="I56" s="397"/>
      <c r="J56" s="397"/>
      <c r="K56" s="397"/>
      <c r="L56" s="397"/>
      <c r="M56" s="397"/>
      <c r="O56" s="397"/>
      <c r="P56" s="397"/>
      <c r="Q56" s="397"/>
      <c r="R56" s="397"/>
    </row>
    <row r="57" spans="1:18" ht="12.9" customHeight="1">
      <c r="A57" s="397"/>
      <c r="B57" s="397"/>
      <c r="C57" s="397"/>
      <c r="D57" s="397"/>
      <c r="E57" s="397"/>
      <c r="F57" s="397"/>
      <c r="G57" s="397"/>
      <c r="H57" s="397"/>
      <c r="I57" s="397"/>
      <c r="J57" s="397"/>
      <c r="K57" s="397"/>
      <c r="L57" s="397"/>
      <c r="M57" s="397"/>
      <c r="O57" s="397"/>
      <c r="P57" s="397"/>
      <c r="Q57" s="397"/>
      <c r="R57" s="397"/>
    </row>
    <row r="58" spans="1:18" ht="12.9" customHeight="1">
      <c r="A58" s="397"/>
      <c r="B58" s="397"/>
      <c r="C58" s="397"/>
      <c r="D58" s="397"/>
      <c r="E58" s="397"/>
      <c r="F58" s="397"/>
      <c r="G58" s="397"/>
      <c r="H58" s="397"/>
      <c r="I58" s="397"/>
      <c r="J58" s="397"/>
      <c r="K58" s="397"/>
      <c r="L58" s="397"/>
      <c r="M58" s="397"/>
      <c r="O58" s="397"/>
      <c r="P58" s="397"/>
      <c r="Q58" s="397"/>
      <c r="R58" s="397"/>
    </row>
    <row r="59" spans="1:18" ht="12.9" customHeight="1">
      <c r="A59" s="397"/>
      <c r="B59" s="397"/>
      <c r="C59" s="397"/>
      <c r="D59" s="397"/>
      <c r="E59" s="397"/>
      <c r="F59" s="397"/>
      <c r="G59" s="397"/>
      <c r="H59" s="397"/>
      <c r="I59" s="397"/>
      <c r="J59" s="397"/>
      <c r="K59" s="397"/>
      <c r="L59" s="397"/>
      <c r="M59" s="397"/>
      <c r="O59" s="397"/>
      <c r="P59" s="397"/>
      <c r="Q59" s="397"/>
      <c r="R59" s="397"/>
    </row>
    <row r="60" spans="1:18" ht="12.9" customHeight="1">
      <c r="A60" s="397"/>
      <c r="B60" s="397"/>
      <c r="C60" s="397"/>
      <c r="D60" s="397"/>
      <c r="E60" s="397"/>
      <c r="F60" s="397"/>
      <c r="G60" s="397"/>
      <c r="H60" s="397"/>
      <c r="I60" s="397"/>
      <c r="J60" s="397"/>
      <c r="K60" s="397"/>
      <c r="L60" s="397"/>
      <c r="M60" s="397"/>
      <c r="O60" s="397"/>
      <c r="P60" s="397"/>
      <c r="Q60" s="397"/>
      <c r="R60" s="397"/>
    </row>
  </sheetData>
  <sheetProtection password="C3C4" sheet="1" objects="1" scenarios="1"/>
  <customSheetViews>
    <customSheetView guid="{89953FCB-456A-4C2D-8912-B30825F750D3}" fitToPage="1">
      <selection activeCell="K33" sqref="K33:L33"/>
      <pageMargins left="0" right="0" top="0" bottom="0" header="0" footer="0"/>
      <printOptions horizontalCentered="1"/>
      <pageSetup scale="82" orientation="landscape" horizontalDpi="300" verticalDpi="300" r:id="rId1"/>
      <headerFooter alignWithMargins="0">
        <oddFooter>&amp;R&amp;8&amp;Z&amp;F</oddFooter>
      </headerFooter>
    </customSheetView>
  </customSheetViews>
  <mergeCells count="18">
    <mergeCell ref="K3:L3"/>
    <mergeCell ref="A1:C1"/>
    <mergeCell ref="A2:B2"/>
    <mergeCell ref="C43:F43"/>
    <mergeCell ref="B8:J8"/>
    <mergeCell ref="K1:L1"/>
    <mergeCell ref="K2:L2"/>
    <mergeCell ref="E3:F3"/>
    <mergeCell ref="D4:F4"/>
    <mergeCell ref="E5:F5"/>
    <mergeCell ref="A7:L7"/>
    <mergeCell ref="C47:I47"/>
    <mergeCell ref="C50:I50"/>
    <mergeCell ref="C51:I51"/>
    <mergeCell ref="C52:I52"/>
    <mergeCell ref="C44:L44"/>
    <mergeCell ref="C45:I45"/>
    <mergeCell ref="C46:L46"/>
  </mergeCells>
  <phoneticPr fontId="4" type="noConversion"/>
  <conditionalFormatting sqref="C44">
    <cfRule type="containsText" dxfId="366" priority="59" stopIfTrue="1" operator="containsText" text="Not Ok">
      <formula>NOT(ISERROR(SEARCH("Not Ok",C44)))</formula>
    </cfRule>
  </conditionalFormatting>
  <conditionalFormatting sqref="C44:C47">
    <cfRule type="containsText" dxfId="365" priority="57" stopIfTrue="1" operator="containsText" text="Not Ok">
      <formula>NOT(ISERROR(SEARCH("Not Ok",C44)))</formula>
    </cfRule>
    <cfRule type="containsText" dxfId="364" priority="58" stopIfTrue="1" operator="containsText" text="Not Ok">
      <formula>NOT(ISERROR(SEARCH("Not Ok",C44)))</formula>
    </cfRule>
  </conditionalFormatting>
  <conditionalFormatting sqref="C45:H47 I47 C44">
    <cfRule type="containsText" dxfId="363" priority="56" stopIfTrue="1" operator="containsText" text="Not Ok">
      <formula>NOT(ISERROR(SEARCH("Not Ok",C44)))</formula>
    </cfRule>
  </conditionalFormatting>
  <conditionalFormatting sqref="G3">
    <cfRule type="containsText" dxfId="362" priority="69" stopIfTrue="1" operator="containsText" text="Not Ok">
      <formula>NOT(ISERROR(SEARCH("Not Ok",G3)))</formula>
    </cfRule>
    <cfRule type="containsText" dxfId="361" priority="70" stopIfTrue="1" operator="containsText" text="Not Ok">
      <formula>NOT(ISERROR(SEARCH("Not Ok",G3)))</formula>
    </cfRule>
  </conditionalFormatting>
  <conditionalFormatting sqref="G3">
    <cfRule type="containsText" dxfId="360" priority="68" stopIfTrue="1" operator="containsText" text="Not Ok">
      <formula>NOT(ISERROR(SEARCH("Not Ok",G3)))</formula>
    </cfRule>
  </conditionalFormatting>
  <conditionalFormatting sqref="B38:B41">
    <cfRule type="cellIs" dxfId="359" priority="64" stopIfTrue="1" operator="equal">
      <formula>"You cannot claim against this contract until all prior year program income has been expended."</formula>
    </cfRule>
  </conditionalFormatting>
  <conditionalFormatting sqref="M42">
    <cfRule type="cellIs" dxfId="358" priority="63" stopIfTrue="1" operator="equal">
      <formula>"You are over budget on expenditures."</formula>
    </cfRule>
  </conditionalFormatting>
  <conditionalFormatting sqref="M42">
    <cfRule type="containsText" dxfId="357" priority="62" operator="containsText" text="Not Ok">
      <formula>NOT(ISERROR(SEARCH("Not Ok",M42)))</formula>
    </cfRule>
  </conditionalFormatting>
  <conditionalFormatting sqref="C44:L47">
    <cfRule type="containsText" dxfId="356" priority="53" operator="containsText" text="Not Ok">
      <formula>NOT(ISERROR(SEARCH("Not Ok",C44)))</formula>
    </cfRule>
  </conditionalFormatting>
  <conditionalFormatting sqref="M44">
    <cfRule type="containsText" dxfId="355" priority="51" stopIfTrue="1" operator="containsText" text="Not Ok">
      <formula>NOT(ISERROR(SEARCH("Not Ok",M44)))</formula>
    </cfRule>
  </conditionalFormatting>
  <conditionalFormatting sqref="M44:M46">
    <cfRule type="containsText" dxfId="354" priority="49" stopIfTrue="1" operator="containsText" text="Not Ok">
      <formula>NOT(ISERROR(SEARCH("Not Ok",M44)))</formula>
    </cfRule>
    <cfRule type="containsText" dxfId="353" priority="50" stopIfTrue="1" operator="containsText" text="Not Ok">
      <formula>NOT(ISERROR(SEARCH("Not Ok",M44)))</formula>
    </cfRule>
  </conditionalFormatting>
  <conditionalFormatting sqref="M44:M46">
    <cfRule type="containsText" dxfId="352" priority="48" stopIfTrue="1" operator="containsText" text="Not Ok">
      <formula>NOT(ISERROR(SEARCH("Not Ok",M44)))</formula>
    </cfRule>
  </conditionalFormatting>
  <conditionalFormatting sqref="M44:M46">
    <cfRule type="containsText" dxfId="351" priority="46" operator="containsText" text="Not Ok">
      <formula>NOT(ISERROR(SEARCH("Not Ok",M44)))</formula>
    </cfRule>
  </conditionalFormatting>
  <conditionalFormatting sqref="M46">
    <cfRule type="containsText" dxfId="350" priority="44" stopIfTrue="1" operator="containsText" text="Not Ok">
      <formula>NOT(ISERROR(SEARCH("Not Ok",M46)))</formula>
    </cfRule>
  </conditionalFormatting>
  <conditionalFormatting sqref="M47">
    <cfRule type="containsText" dxfId="349" priority="42" stopIfTrue="1" operator="containsText" text="Not Ok">
      <formula>NOT(ISERROR(SEARCH("Not Ok",M47)))</formula>
    </cfRule>
    <cfRule type="containsText" dxfId="348" priority="43" stopIfTrue="1" operator="containsText" text="Not Ok">
      <formula>NOT(ISERROR(SEARCH("Not Ok",M47)))</formula>
    </cfRule>
  </conditionalFormatting>
  <conditionalFormatting sqref="M47">
    <cfRule type="containsText" dxfId="347" priority="41" stopIfTrue="1" operator="containsText" text="Not Ok">
      <formula>NOT(ISERROR(SEARCH("Not Ok",M47)))</formula>
    </cfRule>
  </conditionalFormatting>
  <conditionalFormatting sqref="M47">
    <cfRule type="containsText" dxfId="346" priority="40" operator="containsText" text="Not Ok">
      <formula>NOT(ISERROR(SEARCH("Not Ok",M47)))</formula>
    </cfRule>
  </conditionalFormatting>
  <conditionalFormatting sqref="N45:N47">
    <cfRule type="containsText" dxfId="345" priority="37" stopIfTrue="1" operator="containsText" text="Not Ok">
      <formula>NOT(ISERROR(SEARCH("Not Ok",N45)))</formula>
    </cfRule>
  </conditionalFormatting>
  <conditionalFormatting sqref="N43:N47">
    <cfRule type="containsText" dxfId="344" priority="36" operator="containsText" text="Not Ok">
      <formula>NOT(ISERROR(SEARCH("Not Ok",N43)))</formula>
    </cfRule>
  </conditionalFormatting>
  <conditionalFormatting sqref="M27">
    <cfRule type="containsText" dxfId="343" priority="23" operator="containsText" text="#">
      <formula>NOT(ISERROR(SEARCH("#",M27)))</formula>
    </cfRule>
  </conditionalFormatting>
  <conditionalFormatting sqref="B36:L36">
    <cfRule type="containsText" dxfId="342" priority="22" operator="containsText" text="Error">
      <formula>NOT(ISERROR(SEARCH("Error",B36)))</formula>
    </cfRule>
  </conditionalFormatting>
  <conditionalFormatting sqref="A36">
    <cfRule type="containsText" dxfId="341" priority="21" operator="containsText" text="Enter">
      <formula>NOT(ISERROR(SEARCH("Enter",A36)))</formula>
    </cfRule>
  </conditionalFormatting>
  <conditionalFormatting sqref="C50:C51">
    <cfRule type="containsText" dxfId="340" priority="19" operator="containsText" text="You">
      <formula>NOT(ISERROR(SEARCH("You",C50)))</formula>
    </cfRule>
  </conditionalFormatting>
  <conditionalFormatting sqref="M50:M51">
    <cfRule type="containsText" dxfId="339" priority="18" operator="containsText" text="You">
      <formula>NOT(ISERROR(SEARCH("You",M50)))</formula>
    </cfRule>
  </conditionalFormatting>
  <conditionalFormatting sqref="M52">
    <cfRule type="containsText" dxfId="338" priority="12" operator="containsText" text="You">
      <formula>NOT(ISERROR(SEARCH("You",M52)))</formula>
    </cfRule>
  </conditionalFormatting>
  <conditionalFormatting sqref="B50">
    <cfRule type="cellIs" dxfId="337" priority="15" stopIfTrue="1" operator="equal">
      <formula>"You cannot claim against this contract until all prior year program income has been expended."</formula>
    </cfRule>
  </conditionalFormatting>
  <conditionalFormatting sqref="B52">
    <cfRule type="cellIs" dxfId="336" priority="14" stopIfTrue="1" operator="equal">
      <formula>"You cannot claim against this contract until all prior year program income has been expended."</formula>
    </cfRule>
  </conditionalFormatting>
  <conditionalFormatting sqref="C52">
    <cfRule type="containsText" dxfId="335" priority="13" operator="containsText" text="You">
      <formula>NOT(ISERROR(SEARCH("You",C52)))</formula>
    </cfRule>
  </conditionalFormatting>
  <conditionalFormatting sqref="A1">
    <cfRule type="containsText" dxfId="334" priority="11" operator="containsText" text="End">
      <formula>NOT(ISERROR(SEARCH("End",A1)))</formula>
    </cfRule>
  </conditionalFormatting>
  <conditionalFormatting sqref="A1">
    <cfRule type="containsText" dxfId="333" priority="10" operator="containsText" text="End">
      <formula>NOT(ISERROR(SEARCH("End",A1)))</formula>
    </cfRule>
  </conditionalFormatting>
  <conditionalFormatting sqref="A2:B2">
    <cfRule type="containsText" dxfId="332" priority="9" operator="containsText" text="Please">
      <formula>NOT(ISERROR(SEARCH("Please",A2)))</formula>
    </cfRule>
  </conditionalFormatting>
  <conditionalFormatting sqref="N1">
    <cfRule type="containsText" dxfId="331" priority="4" operator="containsText" text="End">
      <formula>NOT(ISERROR(SEARCH("End",N1)))</formula>
    </cfRule>
  </conditionalFormatting>
  <conditionalFormatting sqref="C43:L43">
    <cfRule type="containsText" dxfId="330" priority="5" operator="containsText" text="Not Ok">
      <formula>NOT(ISERROR(SEARCH("Not Ok",C43)))</formula>
    </cfRule>
  </conditionalFormatting>
  <conditionalFormatting sqref="N1">
    <cfRule type="containsText" dxfId="329" priority="3" operator="containsText" text="End">
      <formula>NOT(ISERROR(SEARCH("End",N1)))</formula>
    </cfRule>
  </conditionalFormatting>
  <conditionalFormatting sqref="N2">
    <cfRule type="containsText" dxfId="328" priority="2" operator="containsText" text="Please">
      <formula>NOT(ISERROR(SEARCH("Please",N2)))</formula>
    </cfRule>
  </conditionalFormatting>
  <conditionalFormatting sqref="M35">
    <cfRule type="containsText" dxfId="327" priority="1" operator="containsText" text="#">
      <formula>NOT(ISERROR(SEARCH("#",M35)))</formula>
    </cfRule>
  </conditionalFormatting>
  <dataValidations count="3">
    <dataValidation type="whole" allowBlank="1" showInputMessage="1" showErrorMessage="1" errorTitle="Whole Number Validation" error="You must enter all dollars as whole numbers - no decimals (cents) or spaces." sqref="I27:L27" xr:uid="{F6551637-A14C-41A2-A10A-05DE9B6B1A87}">
      <formula1>-1000000</formula1>
      <formula2>1000000</formula2>
    </dataValidation>
    <dataValidation type="whole" allowBlank="1" showInputMessage="1" showErrorMessage="1" errorTitle="Whole Number Validation" error="You must enter all dollars as whole numbers - no decimals (cents) or spaces." sqref="B28:L30 B24:L26" xr:uid="{337509BD-E1C8-4147-9D00-39554480A279}">
      <formula1>0</formula1>
      <formula2>1000000</formula2>
    </dataValidation>
    <dataValidation type="whole" allowBlank="1" showInputMessage="1" showErrorMessage="1" errorTitle="Whole Number Validation" error="You must enter all dollars as whole numbers - no decimals (cents) or spaces." sqref="B27:H27" xr:uid="{B0721DD1-E24C-4BF4-8764-BC5951C2EB28}">
      <formula1>-100000000</formula1>
      <formula2>100000000</formula2>
    </dataValidation>
  </dataValidations>
  <printOptions horizontalCentered="1"/>
  <pageMargins left="0.25" right="0.25" top="0.25" bottom="0.25" header="0" footer="0"/>
  <pageSetup scale="69" orientation="landscape" r:id="rId2"/>
  <headerFooter alignWithMargins="0">
    <oddFooter>&amp;R&amp;8&amp;Z&amp;F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DE3C-B43B-41F6-ABDD-E5F43BB0CA2D}">
  <sheetPr>
    <tabColor theme="3" tint="0.59999389629810485"/>
    <pageSetUpPr fitToPage="1"/>
  </sheetPr>
  <dimension ref="A1:R60"/>
  <sheetViews>
    <sheetView showGridLines="0" showRowColHeaders="0" topLeftCell="A4" workbookViewId="0">
      <selection activeCell="D17" sqref="D17"/>
    </sheetView>
  </sheetViews>
  <sheetFormatPr defaultRowHeight="15" customHeight="1"/>
  <cols>
    <col min="1" max="1" width="31.6640625" customWidth="1"/>
    <col min="2" max="12" width="12.6640625" customWidth="1"/>
    <col min="13" max="13" width="15.664062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1316</v>
      </c>
      <c r="L1" s="572"/>
      <c r="M1" s="397"/>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1317</v>
      </c>
      <c r="L2" s="572"/>
      <c r="M2" s="397"/>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16" t="s">
        <v>1318</v>
      </c>
      <c r="L3" s="617"/>
      <c r="M3" s="15"/>
      <c r="N3" s="62"/>
    </row>
    <row r="4" spans="1:14" s="13" customFormat="1" ht="15" customHeight="1">
      <c r="A4" s="17" t="s">
        <v>1125</v>
      </c>
      <c r="B4" s="15"/>
      <c r="C4" s="15"/>
      <c r="D4" s="608" t="e">
        <f>LOOKUP(E5,Date,'Addl Info'!F21:F33)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IF(OR(E5="April 2018",E5="May 2018",E5="June 2018",E5="Final Submission 2018"),"x","")</f>
        <v/>
      </c>
      <c r="H5" s="15"/>
      <c r="I5" s="15"/>
      <c r="J5" s="15"/>
      <c r="K5" s="15"/>
      <c r="L5" s="15"/>
      <c r="M5" s="15"/>
      <c r="N5" s="15"/>
    </row>
    <row r="6" spans="1:14" s="13" customFormat="1" ht="15" customHeight="1">
      <c r="A6" s="17" t="s">
        <v>1127</v>
      </c>
      <c r="B6" s="15"/>
      <c r="C6" s="15"/>
      <c r="D6" s="15"/>
      <c r="E6" s="15"/>
      <c r="F6" s="152" t="e">
        <f>IF(D4="Non-Submission Period",0,LOOKUP(E3,CAUTAU,Allocations!O4:O92))</f>
        <v>#N/A</v>
      </c>
      <c r="G6" s="15"/>
      <c r="H6" s="15"/>
      <c r="I6" s="15"/>
      <c r="J6" s="15"/>
      <c r="K6" s="15"/>
      <c r="L6" s="15"/>
      <c r="M6" s="15"/>
      <c r="N6" s="15"/>
    </row>
    <row r="7" spans="1:14" ht="15" customHeight="1">
      <c r="A7" s="606"/>
      <c r="B7" s="607"/>
      <c r="C7" s="607"/>
      <c r="D7" s="607"/>
      <c r="E7" s="607"/>
      <c r="F7" s="607"/>
      <c r="G7" s="607"/>
      <c r="H7" s="607"/>
      <c r="I7" s="607"/>
      <c r="J7" s="607"/>
      <c r="K7" s="607"/>
      <c r="L7" s="607"/>
      <c r="M7" s="397"/>
    </row>
    <row r="8" spans="1:14" s="2" customFormat="1" ht="15" customHeight="1" thickBot="1">
      <c r="A8" s="1"/>
      <c r="B8" s="636" t="s">
        <v>1319</v>
      </c>
      <c r="C8" s="637"/>
      <c r="D8" s="637"/>
      <c r="E8" s="638"/>
      <c r="F8" s="638"/>
      <c r="G8" s="638"/>
      <c r="H8" s="638"/>
      <c r="I8" s="638"/>
      <c r="J8" s="639"/>
    </row>
    <row r="9" spans="1:14" ht="77.099999999999994" customHeight="1">
      <c r="A9" s="187" t="s">
        <v>1128</v>
      </c>
      <c r="B9" s="179" t="s">
        <v>1300</v>
      </c>
      <c r="C9" s="202"/>
      <c r="D9" s="179" t="s">
        <v>1131</v>
      </c>
      <c r="E9" s="179" t="s">
        <v>1132</v>
      </c>
      <c r="F9" s="179" t="s">
        <v>1133</v>
      </c>
      <c r="G9" s="189" t="s">
        <v>352</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23"/>
      <c r="D21" s="323"/>
      <c r="E21" s="323"/>
      <c r="F21" s="323"/>
      <c r="G21" s="306"/>
      <c r="H21" s="323"/>
      <c r="I21" s="323"/>
      <c r="J21" s="323"/>
      <c r="K21" s="323"/>
      <c r="L21" s="324"/>
      <c r="M21" s="308">
        <f>C21+D21+E21+F21+G21+H21+I21+J21+K21+L21-K21-I21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B10+B11+B12+B13+B14+B15+B16+B17+B18+B19+B20+B21+B22+B23+B24+B25+B26+B27+B28+B29+B30</f>
        <v>0</v>
      </c>
      <c r="C35" s="316">
        <f t="shared" ref="C35:L35" si="0">C10+C11+C12+C13+C14+C15+C16+C17+C18+C19+C20+C21+C22+C23+C24+C25+C26+C27+C28+C29+C30</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17">
        <f>C35+D35+E35+F35+G35+H35+I35+J35+K35+L35-I35-K35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397"/>
      <c r="B38" s="12"/>
      <c r="C38" s="12"/>
      <c r="D38" s="12"/>
      <c r="E38" s="12"/>
      <c r="F38" s="12"/>
      <c r="G38" s="12"/>
      <c r="H38" s="12"/>
      <c r="I38" s="12"/>
      <c r="J38" s="12"/>
      <c r="K38" s="12"/>
      <c r="L38" s="12"/>
      <c r="M38" s="62"/>
    </row>
    <row r="39" spans="1:14" ht="12.9" customHeight="1">
      <c r="A39" s="397"/>
      <c r="B39" s="12"/>
      <c r="C39" s="12"/>
      <c r="D39" s="12"/>
      <c r="E39" s="12"/>
      <c r="F39" s="12"/>
      <c r="G39" s="12"/>
      <c r="H39" s="12"/>
      <c r="I39" s="12"/>
      <c r="J39" s="12"/>
      <c r="K39" s="12"/>
      <c r="L39" s="12"/>
      <c r="M39" s="62"/>
    </row>
    <row r="40" spans="1:14" ht="12.9" customHeight="1">
      <c r="A40" s="397"/>
      <c r="B40" s="12"/>
      <c r="C40" s="12"/>
      <c r="D40" s="12"/>
      <c r="E40" s="12"/>
      <c r="F40" s="12"/>
      <c r="G40" s="12"/>
      <c r="H40" s="12"/>
      <c r="I40" s="12"/>
      <c r="J40" s="12"/>
      <c r="K40" s="12"/>
      <c r="L40" s="12"/>
      <c r="M40" s="62"/>
    </row>
    <row r="41" spans="1:14" ht="12.9" customHeight="1">
      <c r="A41" s="397"/>
      <c r="B41" s="12"/>
      <c r="C41" s="12"/>
      <c r="D41" s="12"/>
      <c r="E41" s="12"/>
      <c r="F41" s="12"/>
      <c r="G41" s="12"/>
      <c r="H41" s="12"/>
      <c r="I41" s="12"/>
      <c r="J41" s="12"/>
      <c r="K41" s="12"/>
      <c r="L41" s="12"/>
      <c r="M41" s="62"/>
    </row>
    <row r="42" spans="1:14" ht="12.9" customHeight="1">
      <c r="A42" s="397"/>
      <c r="B42" s="12"/>
      <c r="C42" s="12"/>
      <c r="D42" s="12"/>
      <c r="E42" s="12"/>
      <c r="F42" s="12"/>
      <c r="G42" s="12"/>
      <c r="H42" s="12"/>
      <c r="I42" s="12"/>
      <c r="J42" s="12"/>
      <c r="K42" s="12"/>
      <c r="L42" s="12"/>
      <c r="M42" s="168"/>
    </row>
    <row r="43" spans="1:14" ht="12.9" customHeight="1">
      <c r="A43" s="15" t="s">
        <v>1161</v>
      </c>
      <c r="B43" s="147" t="e">
        <f>(F6-(G35+'EBS OCI Repl 17-18-#74009 75010'!G35+'EBS OCI Repl-Othr 17-18-#75009 '!G35))</f>
        <v>#N/A</v>
      </c>
      <c r="C43" s="610" t="e">
        <f>IF(F6-(G35+'EBS OCI Repl 17-18-#74009 75010'!G35+'EBS OCI Repl-Othr 17-18-#75009 '!G35)&lt;0,"Not Ok - You are over budget on expenditures.","")</f>
        <v>#N/A</v>
      </c>
      <c r="D43" s="611"/>
      <c r="E43" s="611"/>
      <c r="F43" s="574"/>
      <c r="G43" s="15"/>
      <c r="H43" s="15"/>
      <c r="I43" s="15"/>
      <c r="J43" s="15"/>
      <c r="K43" s="15"/>
      <c r="L43" s="15"/>
      <c r="M43" s="367" t="str">
        <f>IF(ISNUMBER(SEARCH("Not Ok",C43)), "X", "")</f>
        <v/>
      </c>
      <c r="N43" s="166"/>
    </row>
    <row r="44" spans="1:14" ht="12.9" customHeight="1">
      <c r="A44" s="15"/>
      <c r="B44" s="159"/>
      <c r="C44" s="601"/>
      <c r="D44" s="601"/>
      <c r="E44" s="601"/>
      <c r="F44" s="601"/>
      <c r="G44" s="601"/>
      <c r="H44" s="601"/>
      <c r="I44" s="601"/>
      <c r="J44" s="601"/>
      <c r="K44" s="601"/>
      <c r="L44" s="601"/>
      <c r="M44" s="367" t="str">
        <f t="shared" ref="M44:M60" si="1">IF(ISNUMBER(SEARCH("Not Ok",C44)), "X", "")</f>
        <v/>
      </c>
      <c r="N44" s="17"/>
    </row>
    <row r="45" spans="1:14" ht="12.9" customHeight="1">
      <c r="A45" s="15"/>
      <c r="B45" s="159"/>
      <c r="C45" s="601"/>
      <c r="D45" s="602"/>
      <c r="E45" s="602"/>
      <c r="F45" s="602"/>
      <c r="G45" s="602"/>
      <c r="H45" s="602"/>
      <c r="I45" s="602"/>
      <c r="J45" s="15"/>
      <c r="K45" s="15"/>
      <c r="L45" s="15"/>
      <c r="M45" s="367" t="str">
        <f t="shared" si="1"/>
        <v/>
      </c>
    </row>
    <row r="46" spans="1:14" ht="12.9" customHeight="1">
      <c r="A46" s="15"/>
      <c r="B46" s="159"/>
      <c r="C46" s="601"/>
      <c r="D46" s="601"/>
      <c r="E46" s="601"/>
      <c r="F46" s="601"/>
      <c r="G46" s="601"/>
      <c r="H46" s="601"/>
      <c r="I46" s="601"/>
      <c r="J46" s="601"/>
      <c r="K46" s="601"/>
      <c r="L46" s="601"/>
      <c r="M46" s="367" t="str">
        <f t="shared" si="1"/>
        <v/>
      </c>
      <c r="N46" s="17"/>
    </row>
    <row r="47" spans="1:14" ht="12.9" customHeight="1">
      <c r="A47" s="15"/>
      <c r="B47" s="147"/>
      <c r="C47" s="601"/>
      <c r="D47" s="602"/>
      <c r="E47" s="602"/>
      <c r="F47" s="602"/>
      <c r="G47" s="602"/>
      <c r="H47" s="602"/>
      <c r="I47" s="602"/>
      <c r="J47" s="15"/>
      <c r="K47" s="15"/>
      <c r="L47" s="15"/>
      <c r="M47" s="367" t="str">
        <f t="shared" si="1"/>
        <v/>
      </c>
    </row>
    <row r="48" spans="1:14" ht="12.9" customHeight="1">
      <c r="A48" s="15"/>
      <c r="B48" s="217"/>
      <c r="C48" s="15"/>
      <c r="D48" s="15"/>
      <c r="E48" s="15"/>
      <c r="F48" s="15"/>
      <c r="G48" s="15"/>
      <c r="H48" s="15"/>
      <c r="I48" s="15"/>
      <c r="J48" s="15"/>
      <c r="K48" s="15"/>
      <c r="L48" s="15"/>
      <c r="M48" s="367" t="str">
        <f t="shared" si="1"/>
        <v/>
      </c>
    </row>
    <row r="49" spans="1:18" ht="12.9" customHeight="1">
      <c r="A49" s="15"/>
      <c r="B49" s="147"/>
      <c r="C49" s="15"/>
      <c r="D49" s="15"/>
      <c r="E49" s="15"/>
      <c r="F49" s="15"/>
      <c r="G49" s="15"/>
      <c r="H49" s="15"/>
      <c r="I49" s="15"/>
      <c r="J49" s="15"/>
      <c r="K49" s="15"/>
      <c r="L49" s="15"/>
      <c r="M49" s="367" t="str">
        <f t="shared" si="1"/>
        <v/>
      </c>
      <c r="O49" s="397"/>
      <c r="P49" s="397"/>
      <c r="Q49" s="397"/>
      <c r="R49" s="397"/>
    </row>
    <row r="50" spans="1:18" s="15" customFormat="1" ht="12.9" customHeight="1">
      <c r="B50" s="227"/>
      <c r="C50" s="600"/>
      <c r="D50" s="574"/>
      <c r="E50" s="574"/>
      <c r="F50" s="574"/>
      <c r="G50" s="574"/>
      <c r="H50" s="574"/>
      <c r="I50" s="574"/>
      <c r="M50" s="367" t="str">
        <f t="shared" si="1"/>
        <v/>
      </c>
      <c r="N50" s="146"/>
      <c r="O50" s="146"/>
      <c r="P50" s="146"/>
      <c r="Q50" s="146"/>
      <c r="R50" s="146"/>
    </row>
    <row r="51" spans="1:18" s="15" customFormat="1" ht="12.9" customHeight="1">
      <c r="A51" s="15" t="e">
        <f>IF(B51="x","Non-Submission Period","")</f>
        <v>#N/A</v>
      </c>
      <c r="B51" s="227" t="e">
        <f>IF(AND(D4="Non-Submission Period",G35&gt;0),"X","")</f>
        <v>#N/A</v>
      </c>
      <c r="C51" s="600" t="e">
        <f>IF(B51="x","Not Ok - You cannot claim against this contract as this is a Non-Submission Period for the contract.","")</f>
        <v>#N/A</v>
      </c>
      <c r="D51" s="574"/>
      <c r="E51" s="574"/>
      <c r="F51" s="574"/>
      <c r="G51" s="574"/>
      <c r="H51" s="574"/>
      <c r="I51" s="574"/>
      <c r="M51" s="367" t="str">
        <f t="shared" si="1"/>
        <v/>
      </c>
    </row>
    <row r="52" spans="1:18" s="15" customFormat="1" ht="12.9" customHeight="1">
      <c r="B52" s="156"/>
      <c r="C52" s="601"/>
      <c r="D52" s="601"/>
      <c r="E52" s="601"/>
      <c r="F52" s="601"/>
      <c r="G52" s="601"/>
      <c r="H52" s="601"/>
      <c r="I52" s="601"/>
      <c r="J52" s="574"/>
      <c r="M52" s="367" t="str">
        <f t="shared" si="1"/>
        <v/>
      </c>
    </row>
    <row r="53" spans="1:18" ht="12.9" customHeight="1">
      <c r="A53" s="15"/>
      <c r="B53" s="15"/>
      <c r="C53" s="15"/>
      <c r="D53" s="15"/>
      <c r="E53" s="15"/>
      <c r="F53" s="15"/>
      <c r="G53" s="15"/>
      <c r="H53" s="15"/>
      <c r="I53" s="15"/>
      <c r="J53" s="15"/>
      <c r="K53" s="15"/>
      <c r="L53" s="15"/>
      <c r="M53" s="367" t="str">
        <f t="shared" si="1"/>
        <v/>
      </c>
      <c r="O53" s="397"/>
      <c r="P53" s="397"/>
      <c r="Q53" s="397"/>
      <c r="R53" s="397"/>
    </row>
    <row r="54" spans="1:18" ht="12.9" customHeight="1">
      <c r="A54" s="15"/>
      <c r="B54" s="15"/>
      <c r="C54" s="15"/>
      <c r="D54" s="15"/>
      <c r="E54" s="15"/>
      <c r="F54" s="15"/>
      <c r="G54" s="15"/>
      <c r="H54" s="15"/>
      <c r="I54" s="15"/>
      <c r="J54" s="15"/>
      <c r="K54" s="15"/>
      <c r="L54" s="15"/>
      <c r="M54" s="367" t="str">
        <f t="shared" si="1"/>
        <v/>
      </c>
      <c r="O54" s="397"/>
      <c r="P54" s="397"/>
      <c r="Q54" s="397"/>
      <c r="R54" s="397"/>
    </row>
    <row r="55" spans="1:18" ht="12.9" customHeight="1">
      <c r="A55" s="15"/>
      <c r="B55" s="15"/>
      <c r="C55" s="15"/>
      <c r="D55" s="15"/>
      <c r="E55" s="15"/>
      <c r="F55" s="15"/>
      <c r="G55" s="15"/>
      <c r="H55" s="15"/>
      <c r="I55" s="15"/>
      <c r="J55" s="15"/>
      <c r="K55" s="15"/>
      <c r="L55" s="15"/>
      <c r="M55" s="367" t="str">
        <f t="shared" si="1"/>
        <v/>
      </c>
      <c r="O55" s="397"/>
      <c r="P55" s="397"/>
      <c r="Q55" s="397"/>
      <c r="R55" s="397"/>
    </row>
    <row r="56" spans="1:18" ht="12.9" customHeight="1">
      <c r="A56" s="397"/>
      <c r="B56" s="397"/>
      <c r="C56" s="397"/>
      <c r="D56" s="397"/>
      <c r="E56" s="397"/>
      <c r="F56" s="397"/>
      <c r="G56" s="397"/>
      <c r="H56" s="397"/>
      <c r="I56" s="397"/>
      <c r="J56" s="397"/>
      <c r="K56" s="397"/>
      <c r="L56" s="397"/>
      <c r="M56" s="367" t="str">
        <f t="shared" si="1"/>
        <v/>
      </c>
      <c r="O56" s="397"/>
      <c r="P56" s="397"/>
      <c r="Q56" s="397"/>
      <c r="R56" s="397"/>
    </row>
    <row r="57" spans="1:18" ht="15" customHeight="1">
      <c r="A57" s="397"/>
      <c r="B57" s="397"/>
      <c r="C57" s="397"/>
      <c r="D57" s="397"/>
      <c r="E57" s="397"/>
      <c r="F57" s="397"/>
      <c r="G57" s="397"/>
      <c r="H57" s="397"/>
      <c r="I57" s="397"/>
      <c r="J57" s="397"/>
      <c r="K57" s="397"/>
      <c r="L57" s="397"/>
      <c r="M57" s="367" t="str">
        <f t="shared" si="1"/>
        <v/>
      </c>
      <c r="O57" s="397"/>
      <c r="P57" s="397"/>
      <c r="Q57" s="397"/>
      <c r="R57" s="397"/>
    </row>
    <row r="58" spans="1:18" ht="15" customHeight="1">
      <c r="A58" s="397"/>
      <c r="B58" s="397"/>
      <c r="C58" s="397"/>
      <c r="D58" s="397"/>
      <c r="E58" s="397"/>
      <c r="F58" s="397"/>
      <c r="G58" s="397"/>
      <c r="H58" s="397"/>
      <c r="I58" s="397"/>
      <c r="J58" s="397"/>
      <c r="K58" s="397"/>
      <c r="L58" s="397"/>
      <c r="M58" s="367" t="str">
        <f t="shared" si="1"/>
        <v/>
      </c>
      <c r="O58" s="397"/>
      <c r="P58" s="397"/>
      <c r="Q58" s="397"/>
      <c r="R58" s="397"/>
    </row>
    <row r="59" spans="1:18" ht="15" customHeight="1">
      <c r="A59" s="397"/>
      <c r="B59" s="397"/>
      <c r="C59" s="397"/>
      <c r="D59" s="397"/>
      <c r="E59" s="397"/>
      <c r="F59" s="397"/>
      <c r="G59" s="397"/>
      <c r="H59" s="397"/>
      <c r="I59" s="397"/>
      <c r="J59" s="397"/>
      <c r="K59" s="397"/>
      <c r="L59" s="397"/>
      <c r="M59" s="367" t="str">
        <f t="shared" si="1"/>
        <v/>
      </c>
      <c r="O59" s="397"/>
      <c r="P59" s="397"/>
      <c r="Q59" s="397"/>
      <c r="R59" s="397"/>
    </row>
    <row r="60" spans="1:18" ht="15" customHeight="1">
      <c r="A60" s="397"/>
      <c r="B60" s="397"/>
      <c r="C60" s="397"/>
      <c r="D60" s="397"/>
      <c r="E60" s="397"/>
      <c r="F60" s="397"/>
      <c r="G60" s="397"/>
      <c r="H60" s="397"/>
      <c r="I60" s="397"/>
      <c r="J60" s="397"/>
      <c r="K60" s="397"/>
      <c r="L60" s="397"/>
      <c r="M60" s="367" t="str">
        <f t="shared" si="1"/>
        <v/>
      </c>
      <c r="O60" s="397"/>
      <c r="P60" s="397"/>
      <c r="Q60" s="397"/>
      <c r="R60" s="397"/>
    </row>
  </sheetData>
  <sheetProtection password="C3C4" sheet="1" objects="1" scenarios="1"/>
  <mergeCells count="18">
    <mergeCell ref="C52:J52"/>
    <mergeCell ref="D4:F4"/>
    <mergeCell ref="E5:F5"/>
    <mergeCell ref="A7:L7"/>
    <mergeCell ref="B8:J8"/>
    <mergeCell ref="C43:F43"/>
    <mergeCell ref="C44:L44"/>
    <mergeCell ref="C45:I45"/>
    <mergeCell ref="C46:L46"/>
    <mergeCell ref="C47:I47"/>
    <mergeCell ref="C50:I50"/>
    <mergeCell ref="C51:I51"/>
    <mergeCell ref="A1:C1"/>
    <mergeCell ref="K1:L1"/>
    <mergeCell ref="A2:B2"/>
    <mergeCell ref="K2:L2"/>
    <mergeCell ref="E3:F3"/>
    <mergeCell ref="K3:L3"/>
  </mergeCells>
  <conditionalFormatting sqref="G3">
    <cfRule type="containsText" dxfId="326" priority="26" stopIfTrue="1" operator="containsText" text="Not Ok">
      <formula>NOT(ISERROR(SEARCH("Not Ok",G3)))</formula>
    </cfRule>
    <cfRule type="containsText" dxfId="325" priority="27" stopIfTrue="1" operator="containsText" text="Not Ok">
      <formula>NOT(ISERROR(SEARCH("Not Ok",G3)))</formula>
    </cfRule>
  </conditionalFormatting>
  <conditionalFormatting sqref="G3">
    <cfRule type="containsText" dxfId="324" priority="25" stopIfTrue="1" operator="containsText" text="Not Ok">
      <formula>NOT(ISERROR(SEARCH("Not Ok",G3)))</formula>
    </cfRule>
  </conditionalFormatting>
  <conditionalFormatting sqref="C45:H47 I47 C44">
    <cfRule type="containsText" dxfId="323" priority="18" stopIfTrue="1" operator="containsText" text="Not Ok">
      <formula>NOT(ISERROR(SEARCH("Not Ok",C44)))</formula>
    </cfRule>
  </conditionalFormatting>
  <conditionalFormatting sqref="B38:B41">
    <cfRule type="cellIs" dxfId="322" priority="24" stopIfTrue="1" operator="equal">
      <formula>"You cannot claim against this contract until all prior year program income has been expended."</formula>
    </cfRule>
  </conditionalFormatting>
  <conditionalFormatting sqref="M42">
    <cfRule type="cellIs" dxfId="321" priority="23" stopIfTrue="1" operator="equal">
      <formula>"You are over budget on expenditures."</formula>
    </cfRule>
  </conditionalFormatting>
  <conditionalFormatting sqref="M42">
    <cfRule type="containsText" dxfId="320" priority="22" operator="containsText" text="Not Ok">
      <formula>NOT(ISERROR(SEARCH("Not Ok",M42)))</formula>
    </cfRule>
  </conditionalFormatting>
  <conditionalFormatting sqref="C44">
    <cfRule type="containsText" dxfId="319" priority="21" stopIfTrue="1" operator="containsText" text="Not Ok">
      <formula>NOT(ISERROR(SEARCH("Not Ok",C44)))</formula>
    </cfRule>
  </conditionalFormatting>
  <conditionalFormatting sqref="C44:C47">
    <cfRule type="containsText" dxfId="318" priority="19" stopIfTrue="1" operator="containsText" text="Not Ok">
      <formula>NOT(ISERROR(SEARCH("Not Ok",C44)))</formula>
    </cfRule>
    <cfRule type="containsText" dxfId="317" priority="20" stopIfTrue="1" operator="containsText" text="Not Ok">
      <formula>NOT(ISERROR(SEARCH("Not Ok",C44)))</formula>
    </cfRule>
  </conditionalFormatting>
  <conditionalFormatting sqref="C43">
    <cfRule type="cellIs" dxfId="316" priority="17" stopIfTrue="1" operator="equal">
      <formula>"You are over budget on expenditures."</formula>
    </cfRule>
  </conditionalFormatting>
  <conditionalFormatting sqref="C44:L47 C43:E43 G43:L43">
    <cfRule type="containsText" dxfId="315" priority="16" operator="containsText" text="Not Ok">
      <formula>NOT(ISERROR(SEARCH("Not Ok",C43)))</formula>
    </cfRule>
  </conditionalFormatting>
  <conditionalFormatting sqref="N45:N47">
    <cfRule type="containsText" dxfId="314" priority="15" stopIfTrue="1" operator="containsText" text="Not Ok">
      <formula>NOT(ISERROR(SEARCH("Not Ok",N45)))</formula>
    </cfRule>
  </conditionalFormatting>
  <conditionalFormatting sqref="N43:N47">
    <cfRule type="containsText" dxfId="313" priority="14" operator="containsText" text="Not Ok">
      <formula>NOT(ISERROR(SEARCH("Not Ok",N43)))</formula>
    </cfRule>
  </conditionalFormatting>
  <conditionalFormatting sqref="M21">
    <cfRule type="containsText" dxfId="312" priority="13" operator="containsText" text="#">
      <formula>NOT(ISERROR(SEARCH("#",M21)))</formula>
    </cfRule>
  </conditionalFormatting>
  <conditionalFormatting sqref="B36:L36">
    <cfRule type="containsText" dxfId="311" priority="12" operator="containsText" text="Error">
      <formula>NOT(ISERROR(SEARCH("Error",B36)))</formula>
    </cfRule>
  </conditionalFormatting>
  <conditionalFormatting sqref="A36">
    <cfRule type="containsText" dxfId="310" priority="11" operator="containsText" text="Enter">
      <formula>NOT(ISERROR(SEARCH("Enter",A36)))</formula>
    </cfRule>
  </conditionalFormatting>
  <conditionalFormatting sqref="B50">
    <cfRule type="cellIs" dxfId="309" priority="10" stopIfTrue="1" operator="equal">
      <formula>"You cannot claim against this contract until all prior year program income has been expended."</formula>
    </cfRule>
  </conditionalFormatting>
  <conditionalFormatting sqref="C50">
    <cfRule type="containsText" dxfId="308" priority="9" operator="containsText" text="You">
      <formula>NOT(ISERROR(SEARCH("You",C50)))</formula>
    </cfRule>
  </conditionalFormatting>
  <conditionalFormatting sqref="C52">
    <cfRule type="containsText" dxfId="307" priority="8" operator="containsText" text="Double">
      <formula>NOT(ISERROR(SEARCH("Double",C52)))</formula>
    </cfRule>
  </conditionalFormatting>
  <conditionalFormatting sqref="C51">
    <cfRule type="containsText" dxfId="306" priority="7" operator="containsText" text="Not Ok">
      <formula>NOT(ISERROR(SEARCH("Not Ok",C51)))</formula>
    </cfRule>
  </conditionalFormatting>
  <conditionalFormatting sqref="N1">
    <cfRule type="containsText" dxfId="305" priority="6" operator="containsText" text="End">
      <formula>NOT(ISERROR(SEARCH("End",N1)))</formula>
    </cfRule>
  </conditionalFormatting>
  <conditionalFormatting sqref="N1">
    <cfRule type="containsText" dxfId="304" priority="5" operator="containsText" text="End">
      <formula>NOT(ISERROR(SEARCH("End",N1)))</formula>
    </cfRule>
  </conditionalFormatting>
  <conditionalFormatting sqref="N2">
    <cfRule type="containsText" dxfId="303" priority="4" operator="containsText" text="Please">
      <formula>NOT(ISERROR(SEARCH("Please",N2)))</formula>
    </cfRule>
  </conditionalFormatting>
  <conditionalFormatting sqref="A1">
    <cfRule type="containsText" dxfId="302" priority="3" operator="containsText" text="End">
      <formula>NOT(ISERROR(SEARCH("End",A1)))</formula>
    </cfRule>
  </conditionalFormatting>
  <conditionalFormatting sqref="A1">
    <cfRule type="containsText" dxfId="301" priority="2" operator="containsText" text="End">
      <formula>NOT(ISERROR(SEARCH("End",A1)))</formula>
    </cfRule>
  </conditionalFormatting>
  <conditionalFormatting sqref="A2:B2">
    <cfRule type="containsText" dxfId="300" priority="1" operator="containsText" text="Please">
      <formula>NOT(ISERROR(SEARCH("Please",A2)))</formula>
    </cfRule>
  </conditionalFormatting>
  <dataValidations count="1">
    <dataValidation type="whole" allowBlank="1" showInputMessage="1" showErrorMessage="1" errorTitle="Whole Number Validation" error="You must enter all dollars as whole numbers - no decimals (cents) or spaces." sqref="B21:G21" xr:uid="{B5664970-6DA5-4C94-A784-D530B9A2EF0C}">
      <formula1>-1000000</formula1>
      <formula2>1000000</formula2>
    </dataValidation>
  </dataValidations>
  <printOptions horizontalCentered="1"/>
  <pageMargins left="0.25" right="0.25" top="0.25" bottom="0.5" header="0" footer="0"/>
  <pageSetup scale="73" orientation="landscape" horizontalDpi="300" verticalDpi="300" r:id="rId1"/>
  <headerFooter alignWithMargins="0">
    <oddFooter>&amp;R&amp;8&amp;Z&amp;F</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1:R52"/>
  <sheetViews>
    <sheetView showGridLines="0" showRowColHeaders="0" topLeftCell="A17" workbookViewId="0">
      <selection activeCell="G38" sqref="G38"/>
    </sheetView>
  </sheetViews>
  <sheetFormatPr defaultRowHeight="15" customHeight="1"/>
  <cols>
    <col min="1" max="1" width="31.6640625" customWidth="1"/>
    <col min="2" max="12" width="12.6640625" customWidth="1"/>
    <col min="13" max="13" width="15.664062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1316</v>
      </c>
      <c r="L1" s="572"/>
      <c r="M1" s="397"/>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1320</v>
      </c>
      <c r="L2" s="572"/>
      <c r="M2" s="397"/>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03" t="s">
        <v>1321</v>
      </c>
      <c r="L3" s="572"/>
      <c r="M3" s="15"/>
      <c r="N3" s="62"/>
    </row>
    <row r="4" spans="1:14" s="13" customFormat="1" ht="15" customHeight="1">
      <c r="A4" s="17" t="s">
        <v>1125</v>
      </c>
      <c r="B4" s="15"/>
      <c r="C4" s="15"/>
      <c r="D4" s="608" t="e">
        <f>LOOKUP(E5,Date,'Addl Info'!F21:F33)</f>
        <v>#N/A</v>
      </c>
      <c r="E4" s="609"/>
      <c r="F4" s="609"/>
      <c r="G4" s="62"/>
      <c r="H4" s="15"/>
      <c r="I4" s="15"/>
      <c r="J4" s="15"/>
      <c r="K4" s="616" t="s">
        <v>1305</v>
      </c>
      <c r="L4" s="617"/>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634" t="s">
        <v>1318</v>
      </c>
      <c r="L5" s="635"/>
      <c r="M5" s="15"/>
      <c r="N5" s="15"/>
    </row>
    <row r="6" spans="1:14" s="13" customFormat="1" ht="15" customHeight="1">
      <c r="A6" s="17" t="s">
        <v>1127</v>
      </c>
      <c r="B6" s="15"/>
      <c r="C6" s="15"/>
      <c r="D6" s="15"/>
      <c r="E6" s="15"/>
      <c r="F6" s="215" t="s">
        <v>1322</v>
      </c>
      <c r="G6" s="15"/>
      <c r="H6" s="15"/>
      <c r="I6" s="15"/>
      <c r="J6" s="15"/>
      <c r="K6" s="15"/>
      <c r="L6" s="15"/>
      <c r="M6" s="15"/>
      <c r="N6" s="15"/>
    </row>
    <row r="7" spans="1:14" ht="15" customHeight="1">
      <c r="A7" s="606"/>
      <c r="B7" s="607"/>
      <c r="C7" s="607"/>
      <c r="D7" s="607"/>
      <c r="E7" s="607"/>
      <c r="F7" s="607"/>
      <c r="G7" s="607"/>
      <c r="H7" s="607"/>
      <c r="I7" s="607"/>
      <c r="J7" s="607"/>
      <c r="K7" s="607"/>
      <c r="L7" s="607"/>
      <c r="M7" s="397"/>
    </row>
    <row r="8" spans="1:14" s="2" customFormat="1" ht="15" customHeight="1" thickBot="1">
      <c r="A8" s="1"/>
      <c r="B8" s="636" t="s">
        <v>1323</v>
      </c>
      <c r="C8" s="637"/>
      <c r="D8" s="637"/>
      <c r="E8" s="638"/>
      <c r="F8" s="638"/>
      <c r="G8" s="638"/>
      <c r="H8" s="638"/>
      <c r="I8" s="638"/>
      <c r="J8" s="639"/>
    </row>
    <row r="9" spans="1:14" ht="77.099999999999994" customHeight="1">
      <c r="A9" s="187" t="s">
        <v>1128</v>
      </c>
      <c r="B9" s="179" t="s">
        <v>1300</v>
      </c>
      <c r="C9" s="202"/>
      <c r="D9" s="179" t="s">
        <v>1131</v>
      </c>
      <c r="E9" s="179" t="s">
        <v>1132</v>
      </c>
      <c r="F9" s="179" t="s">
        <v>1133</v>
      </c>
      <c r="G9" s="189" t="s">
        <v>352</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23"/>
      <c r="D21" s="323"/>
      <c r="E21" s="323"/>
      <c r="F21" s="323"/>
      <c r="G21" s="306"/>
      <c r="H21" s="323"/>
      <c r="I21" s="323"/>
      <c r="J21" s="323"/>
      <c r="K21" s="323"/>
      <c r="L21" s="324"/>
      <c r="M21" s="308">
        <f>C21+D21+E21+F21+G21+H21+I21+J21+K21+L21-K21-I21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B10+B11+B12+B13+B14+B15+B16+B17+B18+B19+B20+B21+B22+B23+B24+B25+B26+B27+B28+B29+B30</f>
        <v>0</v>
      </c>
      <c r="C35" s="316">
        <f t="shared" ref="C35:L35" si="0">C10+C11+C12+C13+C14+C15+C16+C17+C18+C19+C20+C21+C22+C23+C24+C25+C26+C27+C28+C29+C30</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17">
        <f>C35+D35+E35+F35+G35+H35+I35+J35+K35+L35-I35-K35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5" customHeight="1">
      <c r="A38" s="397"/>
      <c r="B38" s="12"/>
      <c r="C38" s="12"/>
      <c r="D38" s="12"/>
      <c r="E38" s="12"/>
      <c r="F38" s="12"/>
      <c r="G38" s="12"/>
      <c r="H38" s="12"/>
      <c r="I38" s="12"/>
      <c r="J38" s="12"/>
      <c r="K38" s="12"/>
      <c r="L38" s="12"/>
      <c r="M38" s="397"/>
    </row>
    <row r="39" spans="1:14" ht="15" customHeight="1">
      <c r="A39" s="15" t="s">
        <v>1308</v>
      </c>
      <c r="B39" s="397"/>
      <c r="C39" s="397"/>
      <c r="D39" s="15" t="s">
        <v>1309</v>
      </c>
      <c r="E39" s="218">
        <v>0</v>
      </c>
      <c r="F39" s="397"/>
      <c r="G39" s="15" t="s">
        <v>1310</v>
      </c>
      <c r="H39" s="218">
        <v>0</v>
      </c>
      <c r="I39" s="397"/>
      <c r="J39" s="397"/>
      <c r="K39" s="397"/>
      <c r="L39" s="397"/>
      <c r="M39" s="397"/>
    </row>
    <row r="42" spans="1:14" ht="15" customHeight="1">
      <c r="A42" s="15"/>
      <c r="B42" s="397"/>
      <c r="C42" s="397"/>
      <c r="D42" s="15"/>
      <c r="E42" s="241"/>
      <c r="F42" s="397"/>
      <c r="G42" s="15"/>
      <c r="H42" s="241"/>
      <c r="I42" s="397"/>
      <c r="J42" s="397"/>
      <c r="K42" s="397"/>
      <c r="L42" s="397"/>
      <c r="M42" s="397"/>
    </row>
    <row r="43" spans="1:14" ht="15" customHeight="1">
      <c r="A43" s="397" t="s">
        <v>1161</v>
      </c>
      <c r="B43" s="640" t="s">
        <v>1322</v>
      </c>
      <c r="C43" s="574"/>
      <c r="D43" s="574"/>
      <c r="E43" s="574"/>
      <c r="F43" s="397"/>
      <c r="G43" s="397"/>
      <c r="H43" s="397"/>
      <c r="I43" s="397"/>
      <c r="J43" s="397"/>
      <c r="K43" s="397"/>
      <c r="L43" s="397"/>
      <c r="M43" s="397"/>
      <c r="N43" s="166"/>
    </row>
    <row r="44" spans="1:14" ht="15" customHeight="1">
      <c r="A44" s="397"/>
      <c r="B44" s="397"/>
      <c r="C44" s="397"/>
      <c r="D44" s="397"/>
      <c r="E44" s="397"/>
      <c r="F44" s="397"/>
      <c r="G44" s="397"/>
      <c r="H44" s="397"/>
      <c r="I44" s="397"/>
      <c r="J44" s="397"/>
      <c r="K44" s="397"/>
      <c r="L44" s="397"/>
      <c r="M44" s="397"/>
      <c r="N44" s="17"/>
    </row>
    <row r="45" spans="1:14" ht="15" customHeight="1">
      <c r="A45" s="397"/>
      <c r="B45" s="11"/>
      <c r="C45" s="17"/>
      <c r="D45" s="11"/>
      <c r="E45" s="25"/>
      <c r="F45" s="25"/>
      <c r="G45" s="397"/>
      <c r="H45" s="397"/>
      <c r="I45" s="397"/>
      <c r="J45" s="397"/>
      <c r="K45" s="397"/>
      <c r="L45" s="397"/>
      <c r="M45" s="397"/>
    </row>
    <row r="46" spans="1:14" ht="15" customHeight="1">
      <c r="A46" s="397"/>
      <c r="B46" s="397"/>
      <c r="C46" s="397"/>
      <c r="D46" s="397"/>
      <c r="E46" s="397"/>
      <c r="F46" s="397"/>
      <c r="G46" s="397"/>
      <c r="H46" s="397"/>
      <c r="I46" s="397"/>
      <c r="J46" s="397"/>
      <c r="K46" s="397"/>
      <c r="L46" s="397"/>
      <c r="M46" s="397"/>
      <c r="N46" s="17"/>
    </row>
    <row r="47" spans="1:14" ht="15" customHeight="1">
      <c r="A47" s="397"/>
      <c r="B47" s="633"/>
      <c r="C47" s="574"/>
      <c r="D47" s="574"/>
      <c r="E47" s="574"/>
      <c r="F47" s="574"/>
      <c r="G47" s="574"/>
      <c r="H47" s="574"/>
      <c r="I47" s="574"/>
      <c r="J47" s="397"/>
      <c r="K47" s="397"/>
      <c r="L47" s="397"/>
      <c r="M47" s="397"/>
    </row>
    <row r="50" spans="1:18" s="15" customFormat="1" ht="12.9" customHeight="1">
      <c r="B50" s="227"/>
      <c r="C50" s="600"/>
      <c r="D50" s="574"/>
      <c r="E50" s="574"/>
      <c r="F50" s="574"/>
      <c r="G50" s="574"/>
      <c r="H50" s="574"/>
      <c r="I50" s="574"/>
      <c r="M50" s="167" t="str">
        <f>IF(B50="x","X","")</f>
        <v/>
      </c>
      <c r="N50" s="146"/>
      <c r="O50" s="146"/>
      <c r="P50" s="146"/>
      <c r="Q50" s="146"/>
      <c r="R50" s="146"/>
    </row>
    <row r="51" spans="1:18" s="15" customFormat="1" ht="12.9" customHeight="1">
      <c r="A51" s="15" t="e">
        <f>IF(B51="x","Non-Submission Period","")</f>
        <v>#N/A</v>
      </c>
      <c r="B51" s="227" t="e">
        <f>IF(AND(D4="Non-Submission Period",G35&gt;0),"X","")</f>
        <v>#N/A</v>
      </c>
      <c r="C51" s="600" t="e">
        <f>IF(B51="x","Not Ok - You cannot claim against this contract as this is a Non-Submission Period for the contract.","")</f>
        <v>#N/A</v>
      </c>
      <c r="D51" s="574"/>
      <c r="E51" s="574"/>
      <c r="F51" s="574"/>
      <c r="G51" s="574"/>
      <c r="H51" s="574"/>
      <c r="I51" s="574"/>
      <c r="M51" s="367" t="str">
        <f t="shared" ref="M51" si="1">IF(ISNUMBER(SEARCH("Not Ok",C51)), "X", "")</f>
        <v/>
      </c>
    </row>
    <row r="52" spans="1:18" s="15" customFormat="1" ht="12.9" customHeight="1">
      <c r="B52" s="156" t="str">
        <f>IF(OR(N37="x",N36="x"),"X","")</f>
        <v/>
      </c>
      <c r="C52" s="601" t="str">
        <f>IF(OR(N37="x",N36="x"),"Double check your columns for '#VALUE!' - this indicates an error on that line item.","")</f>
        <v/>
      </c>
      <c r="D52" s="601"/>
      <c r="E52" s="601"/>
      <c r="F52" s="601"/>
      <c r="G52" s="601"/>
      <c r="H52" s="601"/>
      <c r="I52" s="601"/>
      <c r="J52" s="574"/>
      <c r="M52" s="167" t="str">
        <f>IF(B52="x","X","")</f>
        <v/>
      </c>
    </row>
  </sheetData>
  <sheetProtection password="C3C4" sheet="1" objects="1" scenarios="1"/>
  <customSheetViews>
    <customSheetView guid="{89953FCB-456A-4C2D-8912-B30825F750D3}" fitToPage="1">
      <selection activeCell="B11" sqref="B11:J11"/>
      <pageMargins left="0" right="0" top="0" bottom="0" header="0" footer="0"/>
      <printOptions horizontalCentered="1"/>
      <pageSetup scale="81" orientation="landscape" horizontalDpi="300" verticalDpi="300" r:id="rId1"/>
      <headerFooter alignWithMargins="0">
        <oddFooter>&amp;R&amp;8&amp;Z&amp;F</oddFooter>
      </headerFooter>
    </customSheetView>
  </customSheetViews>
  <mergeCells count="17">
    <mergeCell ref="A1:C1"/>
    <mergeCell ref="A2:B2"/>
    <mergeCell ref="K1:L1"/>
    <mergeCell ref="K2:L2"/>
    <mergeCell ref="E3:F3"/>
    <mergeCell ref="C50:I50"/>
    <mergeCell ref="C51:I51"/>
    <mergeCell ref="C52:J52"/>
    <mergeCell ref="K3:L3"/>
    <mergeCell ref="B8:J8"/>
    <mergeCell ref="B43:E43"/>
    <mergeCell ref="B47:I47"/>
    <mergeCell ref="K4:L4"/>
    <mergeCell ref="K5:L5"/>
    <mergeCell ref="A7:L7"/>
    <mergeCell ref="D4:F4"/>
    <mergeCell ref="E5:F5"/>
  </mergeCells>
  <conditionalFormatting sqref="G3">
    <cfRule type="containsText" dxfId="299" priority="36" stopIfTrue="1" operator="containsText" text="Not Ok">
      <formula>NOT(ISERROR(SEARCH("Not Ok",G3)))</formula>
    </cfRule>
    <cfRule type="containsText" dxfId="298" priority="37" stopIfTrue="1" operator="containsText" text="Not Ok">
      <formula>NOT(ISERROR(SEARCH("Not Ok",G3)))</formula>
    </cfRule>
  </conditionalFormatting>
  <conditionalFormatting sqref="G3">
    <cfRule type="containsText" dxfId="297" priority="35" stopIfTrue="1" operator="containsText" text="Not Ok">
      <formula>NOT(ISERROR(SEARCH("Not Ok",G3)))</formula>
    </cfRule>
  </conditionalFormatting>
  <conditionalFormatting sqref="N45:N47">
    <cfRule type="containsText" dxfId="296" priority="29" stopIfTrue="1" operator="containsText" text="Not Ok">
      <formula>NOT(ISERROR(SEARCH("Not Ok",N45)))</formula>
    </cfRule>
  </conditionalFormatting>
  <conditionalFormatting sqref="N43:N47">
    <cfRule type="containsText" dxfId="295" priority="28" operator="containsText" text="Not Ok">
      <formula>NOT(ISERROR(SEARCH("Not Ok",N43)))</formula>
    </cfRule>
  </conditionalFormatting>
  <conditionalFormatting sqref="M21">
    <cfRule type="containsText" dxfId="294" priority="15" operator="containsText" text="#">
      <formula>NOT(ISERROR(SEARCH("#",M21)))</formula>
    </cfRule>
  </conditionalFormatting>
  <conditionalFormatting sqref="B36:L36">
    <cfRule type="containsText" dxfId="293" priority="14" operator="containsText" text="Error">
      <formula>NOT(ISERROR(SEARCH("Error",B36)))</formula>
    </cfRule>
  </conditionalFormatting>
  <conditionalFormatting sqref="A36">
    <cfRule type="containsText" dxfId="292" priority="13" operator="containsText" text="Enter">
      <formula>NOT(ISERROR(SEARCH("Enter",A36)))</formula>
    </cfRule>
  </conditionalFormatting>
  <conditionalFormatting sqref="B50">
    <cfRule type="cellIs" dxfId="291" priority="12" stopIfTrue="1" operator="equal">
      <formula>"You cannot claim against this contract until all prior year program income has been expended."</formula>
    </cfRule>
  </conditionalFormatting>
  <conditionalFormatting sqref="C50">
    <cfRule type="containsText" dxfId="290" priority="11" operator="containsText" text="You">
      <formula>NOT(ISERROR(SEARCH("You",C50)))</formula>
    </cfRule>
  </conditionalFormatting>
  <conditionalFormatting sqref="M50">
    <cfRule type="containsText" dxfId="289" priority="10" operator="containsText" text="You">
      <formula>NOT(ISERROR(SEARCH("You",M50)))</formula>
    </cfRule>
  </conditionalFormatting>
  <conditionalFormatting sqref="C52">
    <cfRule type="containsText" dxfId="288" priority="9" operator="containsText" text="Double">
      <formula>NOT(ISERROR(SEARCH("Double",C52)))</formula>
    </cfRule>
  </conditionalFormatting>
  <conditionalFormatting sqref="M52">
    <cfRule type="containsText" dxfId="287" priority="8" operator="containsText" text="You">
      <formula>NOT(ISERROR(SEARCH("You",M52)))</formula>
    </cfRule>
  </conditionalFormatting>
  <conditionalFormatting sqref="N1">
    <cfRule type="containsText" dxfId="286" priority="7" operator="containsText" text="End">
      <formula>NOT(ISERROR(SEARCH("End",N1)))</formula>
    </cfRule>
  </conditionalFormatting>
  <conditionalFormatting sqref="N1">
    <cfRule type="containsText" dxfId="285" priority="6" operator="containsText" text="End">
      <formula>NOT(ISERROR(SEARCH("End",N1)))</formula>
    </cfRule>
  </conditionalFormatting>
  <conditionalFormatting sqref="N2">
    <cfRule type="containsText" dxfId="284" priority="5" operator="containsText" text="Please">
      <formula>NOT(ISERROR(SEARCH("Please",N2)))</formula>
    </cfRule>
  </conditionalFormatting>
  <conditionalFormatting sqref="A1">
    <cfRule type="containsText" dxfId="283" priority="4" operator="containsText" text="End">
      <formula>NOT(ISERROR(SEARCH("End",A1)))</formula>
    </cfRule>
  </conditionalFormatting>
  <conditionalFormatting sqref="A1">
    <cfRule type="containsText" dxfId="282" priority="3" operator="containsText" text="End">
      <formula>NOT(ISERROR(SEARCH("End",A1)))</formula>
    </cfRule>
  </conditionalFormatting>
  <conditionalFormatting sqref="A2:B2">
    <cfRule type="containsText" dxfId="281" priority="2" operator="containsText" text="Please">
      <formula>NOT(ISERROR(SEARCH("Please",A2)))</formula>
    </cfRule>
  </conditionalFormatting>
  <conditionalFormatting sqref="C51:I51">
    <cfRule type="containsText" dxfId="280" priority="1" operator="containsText" text="Not Ok">
      <formula>NOT(ISERROR(SEARCH("Not Ok",C51)))</formula>
    </cfRule>
  </conditionalFormatting>
  <dataValidations count="2">
    <dataValidation type="whole" allowBlank="1" showInputMessage="1" showErrorMessage="1" errorTitle="Whole Number Validation" error="You must enter all dollars as whole numbers - no decimals (cents) or spaces." sqref="F39:G39" xr:uid="{DE59D715-E3E5-44CF-99F3-814BB42D48C9}">
      <formula1>0</formula1>
      <formula2>1000000</formula2>
    </dataValidation>
    <dataValidation type="whole" allowBlank="1" showInputMessage="1" showErrorMessage="1" errorTitle="Whole Number Validation" error="You must enter all dollars as whole numbers - no decimals (cents) or spaces." sqref="E39 B21:G21 H39" xr:uid="{18E17BE2-F741-43B5-9042-CD0B85C24C7C}">
      <formula1>-1000000</formula1>
      <formula2>1000000</formula2>
    </dataValidation>
  </dataValidations>
  <printOptions horizontalCentered="1"/>
  <pageMargins left="0.25" right="0.25" top="0.25" bottom="0.5" header="0" footer="0"/>
  <pageSetup scale="72" orientation="landscape" horizontalDpi="300" verticalDpi="300" r:id="rId2"/>
  <headerFooter alignWithMargins="0">
    <oddFooter>&amp;R&amp;8&amp;Z&amp;F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1:R84"/>
  <sheetViews>
    <sheetView showGridLines="0" showRowColHeaders="0" topLeftCell="A16" workbookViewId="0">
      <selection activeCell="E32" sqref="E32"/>
    </sheetView>
  </sheetViews>
  <sheetFormatPr defaultRowHeight="15" customHeight="1"/>
  <cols>
    <col min="1" max="1" width="31.6640625" customWidth="1"/>
    <col min="2" max="12" width="12.6640625" customWidth="1"/>
    <col min="13" max="13" width="15.664062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1316</v>
      </c>
      <c r="L1" s="572"/>
      <c r="M1" s="397"/>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1324</v>
      </c>
      <c r="L2" s="572"/>
      <c r="M2" s="397"/>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16" t="s">
        <v>1318</v>
      </c>
      <c r="L3" s="617"/>
      <c r="M3" s="15"/>
      <c r="N3" s="62"/>
    </row>
    <row r="4" spans="1:14" s="13" customFormat="1" ht="15" customHeight="1">
      <c r="A4" s="17" t="s">
        <v>1125</v>
      </c>
      <c r="B4" s="15"/>
      <c r="C4" s="15"/>
      <c r="D4" s="608" t="e">
        <f>LOOKUP(E5,Date,'Addl Info'!F21:F33)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15"/>
      <c r="L5" s="15"/>
      <c r="M5" s="15"/>
      <c r="N5" s="15"/>
    </row>
    <row r="6" spans="1:14" s="13" customFormat="1" ht="15" customHeight="1">
      <c r="A6" s="17" t="s">
        <v>1127</v>
      </c>
      <c r="B6" s="15"/>
      <c r="C6" s="15"/>
      <c r="D6" s="15"/>
      <c r="E6" s="15"/>
      <c r="F6" s="215" t="s">
        <v>1322</v>
      </c>
      <c r="G6" s="15"/>
      <c r="H6" s="15"/>
      <c r="I6" s="15"/>
      <c r="J6" s="15"/>
      <c r="K6" s="15"/>
      <c r="L6" s="15"/>
      <c r="M6" s="15"/>
      <c r="N6" s="15"/>
    </row>
    <row r="7" spans="1:14" ht="15" customHeight="1">
      <c r="A7" s="606"/>
      <c r="B7" s="607"/>
      <c r="C7" s="607"/>
      <c r="D7" s="607"/>
      <c r="E7" s="607"/>
      <c r="F7" s="607"/>
      <c r="G7" s="607"/>
      <c r="H7" s="607"/>
      <c r="I7" s="607"/>
      <c r="J7" s="607"/>
      <c r="K7" s="607"/>
      <c r="L7" s="607"/>
      <c r="M7" s="397"/>
    </row>
    <row r="8" spans="1:14" s="2" customFormat="1" ht="15" customHeight="1" thickBot="1">
      <c r="A8" s="1"/>
      <c r="B8" s="636" t="s">
        <v>1325</v>
      </c>
      <c r="C8" s="637"/>
      <c r="D8" s="637"/>
      <c r="E8" s="638"/>
      <c r="F8" s="638"/>
      <c r="G8" s="638"/>
      <c r="H8" s="638"/>
      <c r="I8" s="638"/>
      <c r="J8" s="639"/>
    </row>
    <row r="9" spans="1:14" ht="77.099999999999994" customHeight="1">
      <c r="A9" s="187" t="s">
        <v>1128</v>
      </c>
      <c r="B9" s="179" t="s">
        <v>1300</v>
      </c>
      <c r="C9" s="202"/>
      <c r="D9" s="179" t="s">
        <v>1131</v>
      </c>
      <c r="E9" s="179" t="s">
        <v>1132</v>
      </c>
      <c r="F9" s="179" t="s">
        <v>1133</v>
      </c>
      <c r="G9" s="189" t="s">
        <v>352</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23"/>
      <c r="D21" s="323"/>
      <c r="E21" s="323"/>
      <c r="F21" s="323"/>
      <c r="G21" s="306"/>
      <c r="H21" s="323"/>
      <c r="I21" s="323"/>
      <c r="J21" s="323"/>
      <c r="K21" s="323"/>
      <c r="L21" s="324"/>
      <c r="M21" s="308">
        <f>C21+D21+E21+F21+G21+H21+I21+J21+K21+L21-K21-I21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B10+B11+B12+B13+B14+B15+B16+B17+B18+B19+B20+B21+B22+B23+B24+B25+B26+B27+B28+B29+B30</f>
        <v>0</v>
      </c>
      <c r="C35" s="316">
        <f t="shared" ref="C35:L35" si="0">C10+C11+C12+C13+C14+C15+C16+C17+C18+C19+C20+C21+C22+C23+C24+C25+C26+C27+C28+C29+C30</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17">
        <f>C35+D35+E35+F35+G35+H35+I35+J35+K35+L35-I35-K35</f>
        <v>0</v>
      </c>
      <c r="N35" s="225"/>
    </row>
    <row r="36" spans="1:14" s="15" customFormat="1" ht="12.9" customHeight="1">
      <c r="A36" s="17" t="str">
        <f>IF(M36="x","Enter in whole dollars.","")</f>
        <v/>
      </c>
      <c r="B36" s="171" t="str">
        <f>IF(MOD(B34,1)=0,"","Error")</f>
        <v/>
      </c>
      <c r="C36" s="171" t="str">
        <f t="shared" ref="C36:L36" si="1">IF(MOD(C34,1)=0,"","Error")</f>
        <v/>
      </c>
      <c r="D36" s="171" t="str">
        <f t="shared" si="1"/>
        <v/>
      </c>
      <c r="E36" s="171" t="str">
        <f t="shared" si="1"/>
        <v/>
      </c>
      <c r="F36" s="171" t="str">
        <f t="shared" si="1"/>
        <v/>
      </c>
      <c r="G36" s="171" t="str">
        <f t="shared" si="1"/>
        <v/>
      </c>
      <c r="H36" s="171" t="str">
        <f t="shared" si="1"/>
        <v/>
      </c>
      <c r="I36" s="171" t="str">
        <f t="shared" si="1"/>
        <v/>
      </c>
      <c r="J36" s="171" t="str">
        <f t="shared" si="1"/>
        <v/>
      </c>
      <c r="K36" s="171" t="str">
        <f t="shared" si="1"/>
        <v/>
      </c>
      <c r="L36" s="171" t="str">
        <f t="shared" si="1"/>
        <v/>
      </c>
      <c r="M36" s="226" t="str">
        <f>IF(ISERROR(MATCH("error",B36:L36,0)),"","x")</f>
        <v/>
      </c>
      <c r="N36" s="226"/>
    </row>
    <row r="37" spans="1:14" s="15" customFormat="1" ht="12.9" customHeight="1">
      <c r="B37" s="225">
        <f>IFERROR(B35,"x")</f>
        <v>0</v>
      </c>
      <c r="C37" s="225">
        <f t="shared" ref="C37:L37" si="2">IFERROR(C35,"x")</f>
        <v>0</v>
      </c>
      <c r="D37" s="225">
        <f t="shared" si="2"/>
        <v>0</v>
      </c>
      <c r="E37" s="225">
        <f t="shared" si="2"/>
        <v>0</v>
      </c>
      <c r="F37" s="225">
        <f t="shared" si="2"/>
        <v>0</v>
      </c>
      <c r="G37" s="225">
        <f t="shared" si="2"/>
        <v>0</v>
      </c>
      <c r="H37" s="225">
        <f t="shared" si="2"/>
        <v>0</v>
      </c>
      <c r="I37" s="225">
        <f t="shared" si="2"/>
        <v>0</v>
      </c>
      <c r="J37" s="225">
        <f t="shared" si="2"/>
        <v>0</v>
      </c>
      <c r="K37" s="225">
        <f t="shared" si="2"/>
        <v>0</v>
      </c>
      <c r="L37" s="225">
        <f t="shared" si="2"/>
        <v>0</v>
      </c>
      <c r="N37" s="226"/>
    </row>
    <row r="38" spans="1:14" ht="12.9" customHeight="1">
      <c r="A38" s="397"/>
      <c r="B38" s="12"/>
      <c r="C38" s="12"/>
      <c r="D38" s="12"/>
      <c r="E38" s="12"/>
      <c r="F38" s="12"/>
      <c r="G38" s="12"/>
      <c r="H38" s="12"/>
      <c r="I38" s="12"/>
      <c r="J38" s="12"/>
      <c r="K38" s="12"/>
      <c r="L38" s="12"/>
      <c r="M38" s="397"/>
    </row>
    <row r="39" spans="1:14" ht="12.9" customHeight="1">
      <c r="A39" s="397"/>
      <c r="B39" s="397"/>
      <c r="C39" s="397"/>
      <c r="D39" s="397"/>
      <c r="E39" s="397"/>
      <c r="F39" s="397"/>
      <c r="G39" s="397"/>
      <c r="H39" s="397"/>
      <c r="I39" s="397"/>
      <c r="J39" s="397"/>
      <c r="K39" s="397"/>
      <c r="L39" s="397"/>
      <c r="M39" s="397"/>
    </row>
    <row r="40" spans="1:14" ht="12.9" customHeight="1">
      <c r="A40" s="397"/>
      <c r="B40" s="397"/>
      <c r="C40" s="397"/>
      <c r="D40" s="397"/>
      <c r="E40" s="397"/>
      <c r="F40" s="397"/>
      <c r="G40" s="397"/>
      <c r="H40" s="397"/>
      <c r="I40" s="397"/>
      <c r="J40" s="397"/>
      <c r="K40" s="397"/>
      <c r="L40" s="397"/>
      <c r="M40" s="397"/>
    </row>
    <row r="41" spans="1:14" ht="12.9" customHeight="1">
      <c r="A41" s="397"/>
      <c r="B41" s="397"/>
      <c r="C41" s="397"/>
      <c r="D41" s="397"/>
      <c r="E41" s="397"/>
      <c r="F41" s="397"/>
      <c r="G41" s="397"/>
      <c r="H41" s="397"/>
      <c r="I41" s="397"/>
      <c r="J41" s="397"/>
      <c r="K41" s="397"/>
      <c r="L41" s="397"/>
      <c r="M41" s="397"/>
    </row>
    <row r="42" spans="1:14" ht="12.9" customHeight="1">
      <c r="A42" s="397"/>
      <c r="B42" s="397"/>
      <c r="C42" s="397"/>
      <c r="D42" s="397"/>
      <c r="E42" s="397"/>
      <c r="F42" s="397"/>
      <c r="G42" s="397"/>
      <c r="H42" s="397"/>
      <c r="I42" s="397"/>
      <c r="J42" s="397"/>
      <c r="K42" s="397"/>
      <c r="L42" s="397"/>
      <c r="M42" s="397"/>
    </row>
    <row r="43" spans="1:14" ht="12.9" customHeight="1">
      <c r="A43" s="397" t="s">
        <v>1161</v>
      </c>
      <c r="B43" s="640" t="s">
        <v>1322</v>
      </c>
      <c r="C43" s="574"/>
      <c r="D43" s="574"/>
      <c r="E43" s="574"/>
      <c r="F43" s="397"/>
      <c r="G43" s="397"/>
      <c r="H43" s="397"/>
      <c r="I43" s="397"/>
      <c r="J43" s="397"/>
      <c r="K43" s="397"/>
      <c r="L43" s="397"/>
      <c r="M43" s="397"/>
      <c r="N43" s="166"/>
    </row>
    <row r="44" spans="1:14" ht="12.9" customHeight="1">
      <c r="A44" s="397"/>
      <c r="B44" s="397"/>
      <c r="C44" s="397"/>
      <c r="D44" s="397"/>
      <c r="E44" s="397"/>
      <c r="F44" s="397"/>
      <c r="G44" s="397"/>
      <c r="H44" s="397"/>
      <c r="I44" s="397"/>
      <c r="J44" s="397"/>
      <c r="K44" s="397"/>
      <c r="L44" s="397"/>
      <c r="M44" s="397"/>
      <c r="N44" s="17"/>
    </row>
    <row r="45" spans="1:14" ht="12.9" customHeight="1">
      <c r="A45" s="397"/>
      <c r="B45" s="20"/>
      <c r="C45" s="17"/>
      <c r="D45" s="20"/>
      <c r="E45" s="25"/>
      <c r="F45" s="25"/>
      <c r="G45" s="397"/>
      <c r="H45" s="397"/>
      <c r="I45" s="397"/>
      <c r="J45" s="397"/>
      <c r="K45" s="397"/>
      <c r="L45" s="397"/>
      <c r="M45" s="397"/>
    </row>
    <row r="46" spans="1:14" ht="12.9" customHeight="1">
      <c r="A46" s="397"/>
      <c r="B46" s="397"/>
      <c r="C46" s="397"/>
      <c r="D46" s="397"/>
      <c r="E46" s="397"/>
      <c r="F46" s="397"/>
      <c r="G46" s="397"/>
      <c r="H46" s="397"/>
      <c r="I46" s="397"/>
      <c r="J46" s="397"/>
      <c r="K46" s="397"/>
      <c r="L46" s="397"/>
      <c r="M46" s="397"/>
      <c r="N46" s="17"/>
    </row>
    <row r="47" spans="1:14" ht="12.9" customHeight="1">
      <c r="A47" s="397"/>
      <c r="B47" s="397"/>
      <c r="C47" s="397"/>
      <c r="D47" s="397"/>
      <c r="E47" s="397"/>
      <c r="F47" s="397"/>
      <c r="G47" s="397"/>
      <c r="H47" s="397"/>
      <c r="I47" s="397"/>
      <c r="J47" s="397"/>
      <c r="K47" s="397"/>
      <c r="L47" s="397"/>
      <c r="M47" s="397"/>
    </row>
    <row r="48" spans="1:14" ht="12.9" customHeight="1">
      <c r="A48" s="397"/>
      <c r="B48" s="397"/>
      <c r="C48" s="397"/>
      <c r="D48" s="397"/>
      <c r="E48" s="397"/>
      <c r="F48" s="397"/>
      <c r="G48" s="397"/>
      <c r="H48" s="397"/>
      <c r="I48" s="397"/>
      <c r="J48" s="397"/>
      <c r="K48" s="397"/>
      <c r="L48" s="397"/>
      <c r="M48" s="397"/>
    </row>
    <row r="49" spans="1:18" ht="12.9" customHeight="1">
      <c r="A49" s="397"/>
      <c r="B49" s="397"/>
      <c r="C49" s="397"/>
      <c r="D49" s="397"/>
      <c r="E49" s="397"/>
      <c r="F49" s="397"/>
      <c r="G49" s="397"/>
      <c r="H49" s="397"/>
      <c r="I49" s="397"/>
      <c r="J49" s="397"/>
      <c r="K49" s="397"/>
      <c r="L49" s="397"/>
      <c r="M49" s="397"/>
      <c r="O49" s="397"/>
      <c r="P49" s="397"/>
      <c r="Q49" s="397"/>
      <c r="R49" s="397"/>
    </row>
    <row r="50" spans="1:18" s="15" customFormat="1" ht="12.9" customHeight="1">
      <c r="A50" s="15" t="str">
        <f>IF(B50="X","Program Income Carryover","")</f>
        <v/>
      </c>
      <c r="B50" s="227"/>
      <c r="C50" s="600"/>
      <c r="D50" s="574"/>
      <c r="E50" s="574"/>
      <c r="F50" s="574"/>
      <c r="G50" s="574"/>
      <c r="H50" s="574"/>
      <c r="I50" s="574"/>
      <c r="M50" s="167" t="str">
        <f>IF(B50="x","X","")</f>
        <v/>
      </c>
      <c r="N50" s="146"/>
      <c r="O50" s="146"/>
      <c r="P50" s="146"/>
      <c r="Q50" s="146"/>
      <c r="R50" s="146"/>
    </row>
    <row r="51" spans="1:18" s="15" customFormat="1" ht="12.9" customHeight="1">
      <c r="A51" s="15" t="e">
        <f>IF(B51="x","Non-Submission Period","")</f>
        <v>#N/A</v>
      </c>
      <c r="B51" s="227" t="e">
        <f>IF(AND(D4="Non-Submission Period",G35&gt;0),"X","")</f>
        <v>#N/A</v>
      </c>
      <c r="C51" s="600" t="e">
        <f>IF(B51="x","Not Ok - You cannot claim against this contract as this is a Non-Submission Period for the contract.","")</f>
        <v>#N/A</v>
      </c>
      <c r="D51" s="574"/>
      <c r="E51" s="574"/>
      <c r="F51" s="574"/>
      <c r="G51" s="574"/>
      <c r="H51" s="574"/>
      <c r="I51" s="574"/>
      <c r="M51" s="367" t="str">
        <f t="shared" ref="M51" si="3">IF(ISNUMBER(SEARCH("Not Ok",C51)), "X", "")</f>
        <v/>
      </c>
    </row>
    <row r="52" spans="1:18" s="15" customFormat="1" ht="12.9" customHeight="1">
      <c r="A52" s="15" t="str">
        <f>IF(OR(N37="x",N36="x"),"Cell Error","")</f>
        <v/>
      </c>
      <c r="B52" s="156" t="str">
        <f>IF(OR(N37="x",N36="x"),"X","")</f>
        <v/>
      </c>
      <c r="C52" s="601" t="str">
        <f>IF(OR(N37="x",N36="x"),"Double check your columns for '#VALUE!' - this indicates an error on that line item.","")</f>
        <v/>
      </c>
      <c r="D52" s="601"/>
      <c r="E52" s="601"/>
      <c r="F52" s="601"/>
      <c r="G52" s="601"/>
      <c r="H52" s="601"/>
      <c r="I52" s="601"/>
      <c r="J52" s="574"/>
      <c r="M52" s="167" t="str">
        <f>IF(B52="x","X","")</f>
        <v/>
      </c>
    </row>
    <row r="53" spans="1:18" ht="12.9" customHeight="1">
      <c r="A53" s="397"/>
      <c r="B53" s="397"/>
      <c r="C53" s="397"/>
      <c r="D53" s="397"/>
      <c r="E53" s="397"/>
      <c r="F53" s="397"/>
      <c r="G53" s="397"/>
      <c r="H53" s="397"/>
      <c r="I53" s="397"/>
      <c r="J53" s="397"/>
      <c r="K53" s="397"/>
      <c r="L53" s="397"/>
      <c r="M53" s="397"/>
      <c r="O53" s="397"/>
      <c r="P53" s="397"/>
      <c r="Q53" s="397"/>
      <c r="R53" s="397"/>
    </row>
    <row r="54" spans="1:18" ht="12.9" customHeight="1">
      <c r="A54" s="397"/>
      <c r="B54" s="397"/>
      <c r="C54" s="397"/>
      <c r="D54" s="397"/>
      <c r="E54" s="397"/>
      <c r="F54" s="397"/>
      <c r="G54" s="397"/>
      <c r="H54" s="397"/>
      <c r="I54" s="397"/>
      <c r="J54" s="397"/>
      <c r="K54" s="397"/>
      <c r="L54" s="397"/>
      <c r="M54" s="397"/>
      <c r="O54" s="397"/>
      <c r="P54" s="397"/>
      <c r="Q54" s="397"/>
      <c r="R54" s="397"/>
    </row>
    <row r="55" spans="1:18" ht="12.9" customHeight="1">
      <c r="A55" s="397"/>
      <c r="B55" s="397"/>
      <c r="C55" s="397"/>
      <c r="D55" s="397"/>
      <c r="E55" s="397"/>
      <c r="F55" s="397"/>
      <c r="G55" s="397"/>
      <c r="H55" s="397"/>
      <c r="I55" s="397"/>
      <c r="J55" s="397"/>
      <c r="K55" s="397"/>
      <c r="L55" s="397"/>
      <c r="M55" s="397"/>
      <c r="O55" s="397"/>
      <c r="P55" s="397"/>
      <c r="Q55" s="397"/>
      <c r="R55" s="397"/>
    </row>
    <row r="56" spans="1:18" ht="12.9" customHeight="1">
      <c r="A56" s="397"/>
      <c r="B56" s="397"/>
      <c r="C56" s="397"/>
      <c r="D56" s="397"/>
      <c r="E56" s="397"/>
      <c r="F56" s="397"/>
      <c r="G56" s="397"/>
      <c r="H56" s="397"/>
      <c r="I56" s="397"/>
      <c r="J56" s="397"/>
      <c r="K56" s="397"/>
      <c r="L56" s="397"/>
      <c r="M56" s="397"/>
      <c r="O56" s="397"/>
      <c r="P56" s="397"/>
      <c r="Q56" s="397"/>
      <c r="R56" s="397"/>
    </row>
    <row r="57" spans="1:18" ht="12.9" customHeight="1">
      <c r="A57" s="397"/>
      <c r="B57" s="397"/>
      <c r="C57" s="397"/>
      <c r="D57" s="397"/>
      <c r="E57" s="397"/>
      <c r="F57" s="397"/>
      <c r="G57" s="397"/>
      <c r="H57" s="397"/>
      <c r="I57" s="397"/>
      <c r="J57" s="397"/>
      <c r="K57" s="397"/>
      <c r="L57" s="397"/>
      <c r="M57" s="397"/>
      <c r="O57" s="397"/>
      <c r="P57" s="397"/>
      <c r="Q57" s="397"/>
      <c r="R57" s="397"/>
    </row>
    <row r="58" spans="1:18" ht="12.9" customHeight="1">
      <c r="A58" s="397"/>
      <c r="B58" s="397"/>
      <c r="C58" s="397"/>
      <c r="D58" s="397"/>
      <c r="E58" s="397"/>
      <c r="F58" s="397"/>
      <c r="G58" s="397"/>
      <c r="H58" s="397"/>
      <c r="I58" s="397"/>
      <c r="J58" s="397"/>
      <c r="K58" s="397"/>
      <c r="L58" s="397"/>
      <c r="M58" s="397"/>
      <c r="O58" s="397"/>
      <c r="P58" s="397"/>
      <c r="Q58" s="397"/>
      <c r="R58" s="397"/>
    </row>
    <row r="59" spans="1:18" ht="12.9" customHeight="1">
      <c r="A59" s="397"/>
      <c r="B59" s="397"/>
      <c r="C59" s="397"/>
      <c r="D59" s="397"/>
      <c r="E59" s="397"/>
      <c r="F59" s="397"/>
      <c r="G59" s="397"/>
      <c r="H59" s="397"/>
      <c r="I59" s="397"/>
      <c r="J59" s="397"/>
      <c r="K59" s="397"/>
      <c r="L59" s="397"/>
      <c r="M59" s="397"/>
      <c r="O59" s="397"/>
      <c r="P59" s="397"/>
      <c r="Q59" s="397"/>
      <c r="R59" s="397"/>
    </row>
    <row r="60" spans="1:18" ht="12.9" customHeight="1">
      <c r="A60" s="397"/>
      <c r="B60" s="397"/>
      <c r="C60" s="397"/>
      <c r="D60" s="397"/>
      <c r="E60" s="397"/>
      <c r="F60" s="397"/>
      <c r="G60" s="397"/>
      <c r="H60" s="397"/>
      <c r="I60" s="397"/>
      <c r="J60" s="397"/>
      <c r="K60" s="397"/>
      <c r="L60" s="397"/>
      <c r="M60" s="397"/>
      <c r="O60" s="397"/>
      <c r="P60" s="397"/>
      <c r="Q60" s="397"/>
      <c r="R60" s="397"/>
    </row>
    <row r="61" spans="1:18" ht="12.9" customHeight="1">
      <c r="A61" s="397"/>
      <c r="B61" s="397"/>
      <c r="C61" s="397"/>
      <c r="D61" s="397"/>
      <c r="E61" s="397"/>
      <c r="F61" s="397"/>
      <c r="G61" s="397"/>
      <c r="H61" s="397"/>
      <c r="I61" s="397"/>
      <c r="J61" s="397"/>
      <c r="K61" s="397"/>
      <c r="L61" s="397"/>
      <c r="M61" s="397"/>
      <c r="O61" s="397"/>
      <c r="P61" s="397"/>
      <c r="Q61" s="397"/>
      <c r="R61" s="397"/>
    </row>
    <row r="62" spans="1:18" ht="12.9" customHeight="1">
      <c r="A62" s="397"/>
      <c r="B62" s="397"/>
      <c r="C62" s="397"/>
      <c r="D62" s="397"/>
      <c r="E62" s="397"/>
      <c r="F62" s="397"/>
      <c r="G62" s="397"/>
      <c r="H62" s="397"/>
      <c r="I62" s="397"/>
      <c r="J62" s="397"/>
      <c r="K62" s="397"/>
      <c r="L62" s="397"/>
      <c r="M62" s="397"/>
      <c r="O62" s="397"/>
      <c r="P62" s="397"/>
      <c r="Q62" s="397"/>
      <c r="R62" s="397"/>
    </row>
    <row r="63" spans="1:18" ht="12.9" customHeight="1">
      <c r="A63" s="397"/>
      <c r="B63" s="397"/>
      <c r="C63" s="397"/>
      <c r="D63" s="397"/>
      <c r="E63" s="397"/>
      <c r="F63" s="397"/>
      <c r="G63" s="397"/>
      <c r="H63" s="397"/>
      <c r="I63" s="397"/>
      <c r="J63" s="397"/>
      <c r="K63" s="397"/>
      <c r="L63" s="397"/>
      <c r="M63" s="397"/>
      <c r="O63" s="397"/>
      <c r="P63" s="397"/>
      <c r="Q63" s="397"/>
      <c r="R63" s="397"/>
    </row>
    <row r="64" spans="1:18" ht="12.9" customHeight="1">
      <c r="A64" s="397"/>
      <c r="B64" s="397"/>
      <c r="C64" s="397"/>
      <c r="D64" s="397"/>
      <c r="E64" s="397"/>
      <c r="F64" s="397"/>
      <c r="G64" s="397"/>
      <c r="H64" s="397"/>
      <c r="I64" s="397"/>
      <c r="J64" s="397"/>
      <c r="K64" s="397"/>
      <c r="L64" s="397"/>
      <c r="M64" s="397"/>
      <c r="O64" s="397"/>
      <c r="P64" s="397"/>
      <c r="Q64" s="397"/>
      <c r="R64" s="397"/>
    </row>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sheetData>
  <sheetProtection password="C3C4" sheet="1" objects="1" scenarios="1"/>
  <customSheetViews>
    <customSheetView guid="{89953FCB-456A-4C2D-8912-B30825F750D3}" fitToPage="1">
      <selection activeCell="B11" sqref="B11:J11"/>
      <pageMargins left="0" right="0" top="0" bottom="0" header="0" footer="0"/>
      <printOptions horizontalCentered="1"/>
      <pageSetup scale="82" orientation="landscape" horizontalDpi="300" verticalDpi="300" r:id="rId1"/>
      <headerFooter alignWithMargins="0">
        <oddFooter>&amp;R&amp;8&amp;Z&amp;F</oddFooter>
      </headerFooter>
    </customSheetView>
  </customSheetViews>
  <mergeCells count="14">
    <mergeCell ref="A7:L7"/>
    <mergeCell ref="K3:L3"/>
    <mergeCell ref="A1:C1"/>
    <mergeCell ref="A2:B2"/>
    <mergeCell ref="K1:L1"/>
    <mergeCell ref="K2:L2"/>
    <mergeCell ref="E3:F3"/>
    <mergeCell ref="D4:F4"/>
    <mergeCell ref="E5:F5"/>
    <mergeCell ref="C50:I50"/>
    <mergeCell ref="C51:I51"/>
    <mergeCell ref="C52:J52"/>
    <mergeCell ref="B8:J8"/>
    <mergeCell ref="B43:E43"/>
  </mergeCells>
  <conditionalFormatting sqref="G3">
    <cfRule type="containsText" dxfId="279" priority="36" stopIfTrue="1" operator="containsText" text="Not Ok">
      <formula>NOT(ISERROR(SEARCH("Not Ok",G3)))</formula>
    </cfRule>
    <cfRule type="containsText" dxfId="278" priority="37" stopIfTrue="1" operator="containsText" text="Not Ok">
      <formula>NOT(ISERROR(SEARCH("Not Ok",G3)))</formula>
    </cfRule>
  </conditionalFormatting>
  <conditionalFormatting sqref="G3">
    <cfRule type="containsText" dxfId="277" priority="35" stopIfTrue="1" operator="containsText" text="Not Ok">
      <formula>NOT(ISERROR(SEARCH("Not Ok",G3)))</formula>
    </cfRule>
  </conditionalFormatting>
  <conditionalFormatting sqref="N45:N47">
    <cfRule type="containsText" dxfId="276" priority="29" stopIfTrue="1" operator="containsText" text="Not Ok">
      <formula>NOT(ISERROR(SEARCH("Not Ok",N45)))</formula>
    </cfRule>
  </conditionalFormatting>
  <conditionalFormatting sqref="N43:N47">
    <cfRule type="containsText" dxfId="275" priority="28" operator="containsText" text="Not Ok">
      <formula>NOT(ISERROR(SEARCH("Not Ok",N43)))</formula>
    </cfRule>
  </conditionalFormatting>
  <conditionalFormatting sqref="M21">
    <cfRule type="containsText" dxfId="274" priority="15" operator="containsText" text="#">
      <formula>NOT(ISERROR(SEARCH("#",M21)))</formula>
    </cfRule>
  </conditionalFormatting>
  <conditionalFormatting sqref="B36:L36">
    <cfRule type="containsText" dxfId="273" priority="14" operator="containsText" text="Error">
      <formula>NOT(ISERROR(SEARCH("Error",B36)))</formula>
    </cfRule>
  </conditionalFormatting>
  <conditionalFormatting sqref="A36">
    <cfRule type="containsText" dxfId="272" priority="13" operator="containsText" text="Enter">
      <formula>NOT(ISERROR(SEARCH("Enter",A36)))</formula>
    </cfRule>
  </conditionalFormatting>
  <conditionalFormatting sqref="B50">
    <cfRule type="cellIs" dxfId="271" priority="12" stopIfTrue="1" operator="equal">
      <formula>"You cannot claim against this contract until all prior year program income has been expended."</formula>
    </cfRule>
  </conditionalFormatting>
  <conditionalFormatting sqref="C50">
    <cfRule type="containsText" dxfId="270" priority="11" operator="containsText" text="You">
      <formula>NOT(ISERROR(SEARCH("You",C50)))</formula>
    </cfRule>
  </conditionalFormatting>
  <conditionalFormatting sqref="M50">
    <cfRule type="containsText" dxfId="269" priority="10" operator="containsText" text="You">
      <formula>NOT(ISERROR(SEARCH("You",M50)))</formula>
    </cfRule>
  </conditionalFormatting>
  <conditionalFormatting sqref="C52">
    <cfRule type="containsText" dxfId="268" priority="9" operator="containsText" text="Double">
      <formula>NOT(ISERROR(SEARCH("Double",C52)))</formula>
    </cfRule>
  </conditionalFormatting>
  <conditionalFormatting sqref="M52">
    <cfRule type="containsText" dxfId="267" priority="8" operator="containsText" text="You">
      <formula>NOT(ISERROR(SEARCH("You",M52)))</formula>
    </cfRule>
  </conditionalFormatting>
  <conditionalFormatting sqref="N1">
    <cfRule type="containsText" dxfId="266" priority="7" operator="containsText" text="End">
      <formula>NOT(ISERROR(SEARCH("End",N1)))</formula>
    </cfRule>
  </conditionalFormatting>
  <conditionalFormatting sqref="N1">
    <cfRule type="containsText" dxfId="265" priority="6" operator="containsText" text="End">
      <formula>NOT(ISERROR(SEARCH("End",N1)))</formula>
    </cfRule>
  </conditionalFormatting>
  <conditionalFormatting sqref="N2">
    <cfRule type="containsText" dxfId="264" priority="5" operator="containsText" text="Please">
      <formula>NOT(ISERROR(SEARCH("Please",N2)))</formula>
    </cfRule>
  </conditionalFormatting>
  <conditionalFormatting sqref="A1">
    <cfRule type="containsText" dxfId="263" priority="4" operator="containsText" text="End">
      <formula>NOT(ISERROR(SEARCH("End",A1)))</formula>
    </cfRule>
  </conditionalFormatting>
  <conditionalFormatting sqref="A1">
    <cfRule type="containsText" dxfId="262" priority="3" operator="containsText" text="End">
      <formula>NOT(ISERROR(SEARCH("End",A1)))</formula>
    </cfRule>
  </conditionalFormatting>
  <conditionalFormatting sqref="A2:B2">
    <cfRule type="containsText" dxfId="261" priority="2" operator="containsText" text="Please">
      <formula>NOT(ISERROR(SEARCH("Please",A2)))</formula>
    </cfRule>
  </conditionalFormatting>
  <conditionalFormatting sqref="C51:I51">
    <cfRule type="containsText" dxfId="260" priority="1" operator="containsText" text="Not Ok">
      <formula>NOT(ISERROR(SEARCH("Not Ok",C51)))</formula>
    </cfRule>
  </conditionalFormatting>
  <dataValidations count="2">
    <dataValidation type="whole" allowBlank="1" showInputMessage="1" showErrorMessage="1" errorTitle="Whole Number Validation" error="You must enter all dollars as whole numbers - no decimals (cents) or spaces." sqref="B22:G22" xr:uid="{0B406CDF-F911-4A50-9ACC-326FC6FE701D}">
      <formula1>0</formula1>
      <formula2>1000000</formula2>
    </dataValidation>
    <dataValidation type="whole" allowBlank="1" showInputMessage="1" showErrorMessage="1" errorTitle="Whole Number Validation" error="You must enter all dollars as whole numbers - no decimals (cents) or spaces." sqref="B21:G21" xr:uid="{CBBFC87A-73BC-4547-A300-86F169F7F7E8}">
      <formula1>-1000000</formula1>
      <formula2>1000000</formula2>
    </dataValidation>
  </dataValidations>
  <printOptions horizontalCentered="1"/>
  <pageMargins left="0.25" right="0.25" top="0.25" bottom="0.5" header="0" footer="0"/>
  <pageSetup scale="73" orientation="landscape" horizontalDpi="300" verticalDpi="300" r:id="rId2"/>
  <headerFooter alignWithMargins="0">
    <oddFooter>&amp;R&amp;8&amp;Z&amp;F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1:R60"/>
  <sheetViews>
    <sheetView showGridLines="0" showRowColHeader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31.6640625" customWidth="1"/>
    <col min="2" max="12" width="12.6640625" customWidth="1"/>
    <col min="13" max="13" width="15.664062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1316</v>
      </c>
      <c r="L1" s="572"/>
      <c r="M1" s="397"/>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1317</v>
      </c>
      <c r="L2" s="572"/>
      <c r="M2" s="397"/>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16" t="s">
        <v>1318</v>
      </c>
      <c r="L3" s="617"/>
      <c r="M3" s="15"/>
      <c r="N3" s="62"/>
    </row>
    <row r="4" spans="1:14" s="13" customFormat="1" ht="15" customHeight="1">
      <c r="A4" s="17" t="s">
        <v>1125</v>
      </c>
      <c r="B4" s="15"/>
      <c r="C4" s="15"/>
      <c r="D4" s="608" t="e">
        <f>LOOKUP(E5,Date,'Addl Info'!E21:E33)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IF(OR(E5="April 2019",E5="May 2019",E5="June 2019",E5="Final Submission 2019"),"x","")</f>
        <v/>
      </c>
      <c r="H5" s="15"/>
      <c r="I5" s="15"/>
      <c r="J5" s="15"/>
      <c r="K5" s="15"/>
      <c r="L5" s="15"/>
      <c r="M5" s="15"/>
      <c r="N5" s="15"/>
    </row>
    <row r="6" spans="1:14" s="13" customFormat="1" ht="15" customHeight="1">
      <c r="A6" s="17" t="s">
        <v>1127</v>
      </c>
      <c r="B6" s="15"/>
      <c r="C6" s="15"/>
      <c r="D6" s="15"/>
      <c r="E6" s="15"/>
      <c r="F6" s="152" t="e">
        <f>IF(D4="Non-Submission Period",0,LOOKUP(E3,CAUTAU,Allocations!P4:P92))</f>
        <v>#N/A</v>
      </c>
      <c r="G6" s="15"/>
      <c r="H6" s="15"/>
      <c r="I6" s="15"/>
      <c r="J6" s="15"/>
      <c r="K6" s="15"/>
      <c r="L6" s="15"/>
      <c r="M6" s="15"/>
      <c r="N6" s="15"/>
    </row>
    <row r="7" spans="1:14" ht="15" customHeight="1">
      <c r="A7" s="606"/>
      <c r="B7" s="607"/>
      <c r="C7" s="607"/>
      <c r="D7" s="607"/>
      <c r="E7" s="607"/>
      <c r="F7" s="607"/>
      <c r="G7" s="607"/>
      <c r="H7" s="607"/>
      <c r="I7" s="607"/>
      <c r="J7" s="607"/>
      <c r="K7" s="607"/>
      <c r="L7" s="607"/>
      <c r="M7" s="397"/>
    </row>
    <row r="8" spans="1:14" s="2" customFormat="1" ht="15" customHeight="1" thickBot="1">
      <c r="A8" s="1"/>
      <c r="B8" s="636" t="s">
        <v>1326</v>
      </c>
      <c r="C8" s="637"/>
      <c r="D8" s="637"/>
      <c r="E8" s="638"/>
      <c r="F8" s="638"/>
      <c r="G8" s="638"/>
      <c r="H8" s="638"/>
      <c r="I8" s="638"/>
      <c r="J8" s="639"/>
    </row>
    <row r="9" spans="1:14" ht="77.099999999999994" customHeight="1">
      <c r="A9" s="187" t="s">
        <v>1128</v>
      </c>
      <c r="B9" s="188" t="s">
        <v>1327</v>
      </c>
      <c r="C9" s="189" t="s">
        <v>352</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06"/>
      <c r="D21" s="323"/>
      <c r="E21" s="323"/>
      <c r="F21" s="323"/>
      <c r="G21" s="323"/>
      <c r="H21" s="323"/>
      <c r="I21" s="323"/>
      <c r="J21" s="323"/>
      <c r="K21" s="323"/>
      <c r="L21" s="324"/>
      <c r="M21" s="308">
        <f>C21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SUM(B10:B34)</f>
        <v>0</v>
      </c>
      <c r="C35" s="316">
        <f t="shared" ref="C35:L35" si="0">SUM(C10:C34)</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08">
        <f>C35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397"/>
      <c r="B38" s="12"/>
      <c r="C38" s="12"/>
      <c r="D38" s="12"/>
      <c r="E38" s="12"/>
      <c r="F38" s="12"/>
      <c r="G38" s="12"/>
      <c r="H38" s="12"/>
      <c r="I38" s="12"/>
      <c r="J38" s="12"/>
      <c r="K38" s="12"/>
      <c r="L38" s="12"/>
      <c r="M38" s="62"/>
    </row>
    <row r="39" spans="1:14" ht="12.9" customHeight="1">
      <c r="A39" s="397"/>
      <c r="B39" s="12"/>
      <c r="C39" s="12"/>
      <c r="D39" s="12"/>
      <c r="E39" s="12"/>
      <c r="F39" s="12"/>
      <c r="G39" s="12"/>
      <c r="H39" s="12"/>
      <c r="I39" s="12"/>
      <c r="J39" s="12"/>
      <c r="K39" s="12"/>
      <c r="L39" s="12"/>
      <c r="M39" s="62"/>
    </row>
    <row r="40" spans="1:14" ht="12.9" customHeight="1">
      <c r="A40" s="397"/>
      <c r="B40" s="12"/>
      <c r="C40" s="12"/>
      <c r="D40" s="12"/>
      <c r="E40" s="12"/>
      <c r="F40" s="12"/>
      <c r="G40" s="12"/>
      <c r="H40" s="12"/>
      <c r="I40" s="12"/>
      <c r="J40" s="12"/>
      <c r="K40" s="12"/>
      <c r="L40" s="12"/>
      <c r="M40" s="62"/>
    </row>
    <row r="41" spans="1:14" ht="12.9" customHeight="1">
      <c r="A41" s="397"/>
      <c r="B41" s="12"/>
      <c r="C41" s="12"/>
      <c r="D41" s="12"/>
      <c r="E41" s="12"/>
      <c r="F41" s="12"/>
      <c r="G41" s="12"/>
      <c r="H41" s="12"/>
      <c r="I41" s="12"/>
      <c r="J41" s="12"/>
      <c r="K41" s="12"/>
      <c r="L41" s="12"/>
      <c r="M41" s="62"/>
    </row>
    <row r="42" spans="1:14" ht="12.9" customHeight="1">
      <c r="A42" s="397"/>
      <c r="B42" s="12"/>
      <c r="C42" s="12"/>
      <c r="D42" s="12"/>
      <c r="E42" s="12"/>
      <c r="F42" s="12"/>
      <c r="G42" s="12"/>
      <c r="H42" s="12"/>
      <c r="I42" s="12"/>
      <c r="J42" s="12"/>
      <c r="K42" s="12"/>
      <c r="L42" s="12"/>
      <c r="M42" s="168"/>
    </row>
    <row r="43" spans="1:14" ht="12.9" customHeight="1">
      <c r="A43" s="15" t="s">
        <v>1161</v>
      </c>
      <c r="B43" s="147" t="e">
        <f>(F6-(C35+'EBS OCI Repl 18-19-#74009 75010'!C35+'EBS OCI Repl-Othr 18-19-#75009'!C35))</f>
        <v>#N/A</v>
      </c>
      <c r="C43" s="610" t="e">
        <f>IF(F6-(C35+'EBS OCI Repl 18-19-#74009 75010'!C35+'EBS OCI Repl-Othr 18-19-#75009'!C35)&lt;0,"Not Ok - You are over budget on expenditures.","")</f>
        <v>#N/A</v>
      </c>
      <c r="D43" s="611"/>
      <c r="E43" s="611"/>
      <c r="F43" s="574"/>
      <c r="G43" s="15"/>
      <c r="H43" s="15"/>
      <c r="I43" s="15"/>
      <c r="J43" s="15"/>
      <c r="K43" s="15"/>
      <c r="L43" s="15"/>
      <c r="M43" s="367" t="str">
        <f>IF(ISNUMBER(SEARCH("Not Ok",C43)), "X", "")</f>
        <v/>
      </c>
      <c r="N43" s="166"/>
    </row>
    <row r="44" spans="1:14" ht="12.9" customHeight="1">
      <c r="A44" s="15"/>
      <c r="B44" s="159"/>
      <c r="C44" s="601"/>
      <c r="D44" s="601"/>
      <c r="E44" s="601"/>
      <c r="F44" s="601"/>
      <c r="G44" s="601"/>
      <c r="H44" s="601"/>
      <c r="I44" s="601"/>
      <c r="J44" s="601"/>
      <c r="K44" s="601"/>
      <c r="L44" s="601"/>
      <c r="M44" s="367" t="str">
        <f t="shared" ref="M44:M60" si="1">IF(ISNUMBER(SEARCH("Not Ok",C44)), "X", "")</f>
        <v/>
      </c>
      <c r="N44" s="17"/>
    </row>
    <row r="45" spans="1:14" ht="12.9" customHeight="1">
      <c r="A45" s="15"/>
      <c r="B45" s="159"/>
      <c r="C45" s="601"/>
      <c r="D45" s="602"/>
      <c r="E45" s="602"/>
      <c r="F45" s="602"/>
      <c r="G45" s="602"/>
      <c r="H45" s="602"/>
      <c r="I45" s="602"/>
      <c r="J45" s="15"/>
      <c r="K45" s="15"/>
      <c r="L45" s="15"/>
      <c r="M45" s="367" t="str">
        <f t="shared" si="1"/>
        <v/>
      </c>
    </row>
    <row r="46" spans="1:14" ht="12.9" customHeight="1">
      <c r="A46" s="15"/>
      <c r="B46" s="159"/>
      <c r="C46" s="601"/>
      <c r="D46" s="601"/>
      <c r="E46" s="601"/>
      <c r="F46" s="601"/>
      <c r="G46" s="601"/>
      <c r="H46" s="601"/>
      <c r="I46" s="601"/>
      <c r="J46" s="601"/>
      <c r="K46" s="601"/>
      <c r="L46" s="601"/>
      <c r="M46" s="367" t="str">
        <f t="shared" si="1"/>
        <v/>
      </c>
      <c r="N46" s="17"/>
    </row>
    <row r="47" spans="1:14" ht="12.9" customHeight="1">
      <c r="A47" s="15"/>
      <c r="B47" s="147"/>
      <c r="C47" s="601"/>
      <c r="D47" s="602"/>
      <c r="E47" s="602"/>
      <c r="F47" s="602"/>
      <c r="G47" s="602"/>
      <c r="H47" s="602"/>
      <c r="I47" s="602"/>
      <c r="J47" s="15"/>
      <c r="K47" s="15"/>
      <c r="L47" s="15"/>
      <c r="M47" s="367" t="str">
        <f t="shared" si="1"/>
        <v/>
      </c>
    </row>
    <row r="48" spans="1:14" ht="12.9" customHeight="1">
      <c r="A48" s="15"/>
      <c r="B48" s="217"/>
      <c r="C48" s="15"/>
      <c r="D48" s="15"/>
      <c r="E48" s="15"/>
      <c r="F48" s="15"/>
      <c r="G48" s="15"/>
      <c r="H48" s="15"/>
      <c r="I48" s="15"/>
      <c r="J48" s="15"/>
      <c r="K48" s="15"/>
      <c r="L48" s="15"/>
      <c r="M48" s="367" t="str">
        <f t="shared" si="1"/>
        <v/>
      </c>
    </row>
    <row r="49" spans="1:18" ht="12.9" customHeight="1">
      <c r="A49" s="15"/>
      <c r="B49" s="147"/>
      <c r="C49" s="15"/>
      <c r="D49" s="15"/>
      <c r="E49" s="15"/>
      <c r="F49" s="15"/>
      <c r="G49" s="15"/>
      <c r="H49" s="15"/>
      <c r="I49" s="15"/>
      <c r="J49" s="15"/>
      <c r="K49" s="15"/>
      <c r="L49" s="15"/>
      <c r="M49" s="367" t="str">
        <f t="shared" si="1"/>
        <v/>
      </c>
      <c r="O49" s="397"/>
      <c r="P49" s="397"/>
      <c r="Q49" s="397"/>
      <c r="R49" s="397"/>
    </row>
    <row r="50" spans="1:18" s="15" customFormat="1" ht="12.9" customHeight="1">
      <c r="B50" s="227"/>
      <c r="C50" s="600"/>
      <c r="D50" s="574"/>
      <c r="E50" s="574"/>
      <c r="F50" s="574"/>
      <c r="G50" s="574"/>
      <c r="H50" s="574"/>
      <c r="I50" s="574"/>
      <c r="M50" s="367" t="str">
        <f t="shared" si="1"/>
        <v/>
      </c>
      <c r="N50" s="146"/>
      <c r="O50" s="146"/>
      <c r="P50" s="146"/>
      <c r="Q50" s="146"/>
      <c r="R50" s="146"/>
    </row>
    <row r="51" spans="1:18" s="15" customFormat="1" ht="12.9" customHeight="1">
      <c r="A51" s="15" t="e">
        <f>IF(B51="x","Non-Submission Period","")</f>
        <v>#N/A</v>
      </c>
      <c r="B51" s="227" t="e">
        <f>IF(AND(D4="Non-Submission Period",C35&gt;0),"X","")</f>
        <v>#N/A</v>
      </c>
      <c r="C51" s="600" t="e">
        <f>IF(B51="x","Not Ok - You cannot claim against this contract as this is a Non-Submission Period for the contract.","")</f>
        <v>#N/A</v>
      </c>
      <c r="D51" s="574"/>
      <c r="E51" s="574"/>
      <c r="F51" s="574"/>
      <c r="G51" s="574"/>
      <c r="H51" s="574"/>
      <c r="I51" s="574"/>
      <c r="M51" s="367" t="str">
        <f t="shared" si="1"/>
        <v/>
      </c>
    </row>
    <row r="52" spans="1:18" s="15" customFormat="1" ht="12.9" customHeight="1">
      <c r="B52" s="156"/>
      <c r="C52" s="601"/>
      <c r="D52" s="601"/>
      <c r="E52" s="601"/>
      <c r="F52" s="601"/>
      <c r="G52" s="601"/>
      <c r="H52" s="601"/>
      <c r="I52" s="601"/>
      <c r="J52" s="574"/>
      <c r="M52" s="367" t="str">
        <f t="shared" si="1"/>
        <v/>
      </c>
    </row>
    <row r="53" spans="1:18" ht="12.9" customHeight="1">
      <c r="A53" s="15"/>
      <c r="B53" s="15"/>
      <c r="C53" s="15"/>
      <c r="D53" s="15"/>
      <c r="E53" s="15"/>
      <c r="F53" s="15"/>
      <c r="G53" s="15"/>
      <c r="H53" s="15"/>
      <c r="I53" s="15"/>
      <c r="J53" s="15"/>
      <c r="K53" s="15"/>
      <c r="L53" s="15"/>
      <c r="M53" s="367" t="str">
        <f t="shared" si="1"/>
        <v/>
      </c>
      <c r="O53" s="397"/>
      <c r="P53" s="397"/>
      <c r="Q53" s="397"/>
      <c r="R53" s="397"/>
    </row>
    <row r="54" spans="1:18" ht="12.9" customHeight="1">
      <c r="A54" s="15"/>
      <c r="B54" s="15"/>
      <c r="C54" s="15"/>
      <c r="D54" s="15"/>
      <c r="E54" s="15"/>
      <c r="F54" s="15"/>
      <c r="G54" s="15"/>
      <c r="H54" s="15"/>
      <c r="I54" s="15"/>
      <c r="J54" s="15"/>
      <c r="K54" s="15"/>
      <c r="L54" s="15"/>
      <c r="M54" s="367" t="str">
        <f t="shared" si="1"/>
        <v/>
      </c>
      <c r="O54" s="397"/>
      <c r="P54" s="397"/>
      <c r="Q54" s="397"/>
      <c r="R54" s="397"/>
    </row>
    <row r="55" spans="1:18" ht="12.9" customHeight="1">
      <c r="A55" s="15"/>
      <c r="B55" s="15"/>
      <c r="C55" s="15"/>
      <c r="D55" s="15"/>
      <c r="E55" s="15"/>
      <c r="F55" s="15"/>
      <c r="G55" s="15"/>
      <c r="H55" s="15"/>
      <c r="I55" s="15"/>
      <c r="J55" s="15"/>
      <c r="K55" s="15"/>
      <c r="L55" s="15"/>
      <c r="M55" s="367" t="str">
        <f t="shared" si="1"/>
        <v/>
      </c>
      <c r="O55" s="397"/>
      <c r="P55" s="397"/>
      <c r="Q55" s="397"/>
      <c r="R55" s="397"/>
    </row>
    <row r="56" spans="1:18" ht="12.9" customHeight="1">
      <c r="A56" s="397"/>
      <c r="B56" s="397"/>
      <c r="C56" s="397"/>
      <c r="D56" s="397"/>
      <c r="E56" s="397"/>
      <c r="F56" s="397"/>
      <c r="G56" s="397"/>
      <c r="H56" s="397"/>
      <c r="I56" s="397"/>
      <c r="J56" s="397"/>
      <c r="K56" s="397"/>
      <c r="L56" s="397"/>
      <c r="M56" s="367" t="str">
        <f t="shared" si="1"/>
        <v/>
      </c>
      <c r="O56" s="397"/>
      <c r="P56" s="397"/>
      <c r="Q56" s="397"/>
      <c r="R56" s="397"/>
    </row>
    <row r="57" spans="1:18" ht="15" customHeight="1">
      <c r="A57" s="397"/>
      <c r="B57" s="397"/>
      <c r="C57" s="397"/>
      <c r="D57" s="397"/>
      <c r="E57" s="397"/>
      <c r="F57" s="397"/>
      <c r="G57" s="397"/>
      <c r="H57" s="397"/>
      <c r="I57" s="397"/>
      <c r="J57" s="397"/>
      <c r="K57" s="397"/>
      <c r="L57" s="397"/>
      <c r="M57" s="367" t="str">
        <f t="shared" si="1"/>
        <v/>
      </c>
      <c r="O57" s="397"/>
      <c r="P57" s="397"/>
      <c r="Q57" s="397"/>
      <c r="R57" s="397"/>
    </row>
    <row r="58" spans="1:18" ht="15" customHeight="1">
      <c r="A58" s="397"/>
      <c r="B58" s="397"/>
      <c r="C58" s="397"/>
      <c r="D58" s="397"/>
      <c r="E58" s="397"/>
      <c r="F58" s="397"/>
      <c r="G58" s="397"/>
      <c r="H58" s="397"/>
      <c r="I58" s="397"/>
      <c r="J58" s="397"/>
      <c r="K58" s="397"/>
      <c r="L58" s="397"/>
      <c r="M58" s="367" t="str">
        <f t="shared" si="1"/>
        <v/>
      </c>
      <c r="O58" s="397"/>
      <c r="P58" s="397"/>
      <c r="Q58" s="397"/>
      <c r="R58" s="397"/>
    </row>
    <row r="59" spans="1:18" ht="15" customHeight="1">
      <c r="A59" s="397"/>
      <c r="B59" s="397"/>
      <c r="C59" s="397"/>
      <c r="D59" s="397"/>
      <c r="E59" s="397"/>
      <c r="F59" s="397"/>
      <c r="G59" s="397"/>
      <c r="H59" s="397"/>
      <c r="I59" s="397"/>
      <c r="J59" s="397"/>
      <c r="K59" s="397"/>
      <c r="L59" s="397"/>
      <c r="M59" s="367" t="str">
        <f t="shared" si="1"/>
        <v/>
      </c>
      <c r="O59" s="397"/>
      <c r="P59" s="397"/>
      <c r="Q59" s="397"/>
      <c r="R59" s="397"/>
    </row>
    <row r="60" spans="1:18" ht="15" customHeight="1">
      <c r="A60" s="397"/>
      <c r="B60" s="397"/>
      <c r="C60" s="397"/>
      <c r="D60" s="397"/>
      <c r="E60" s="397"/>
      <c r="F60" s="397"/>
      <c r="G60" s="397"/>
      <c r="H60" s="397"/>
      <c r="I60" s="397"/>
      <c r="J60" s="397"/>
      <c r="K60" s="397"/>
      <c r="L60" s="397"/>
      <c r="M60" s="367" t="str">
        <f t="shared" si="1"/>
        <v/>
      </c>
      <c r="O60" s="397"/>
      <c r="P60" s="397"/>
      <c r="Q60" s="397"/>
      <c r="R60" s="397"/>
    </row>
  </sheetData>
  <sheetProtection password="C3C4" sheet="1" objects="1" scenarios="1"/>
  <customSheetViews>
    <customSheetView guid="{89953FCB-456A-4C2D-8912-B30825F750D3}" fitToPage="1">
      <selection activeCell="A10" sqref="A10:L10"/>
      <pageMargins left="0" right="0" top="0" bottom="0" header="0" footer="0"/>
      <printOptions horizontalCentered="1"/>
      <pageSetup scale="82" orientation="landscape" horizontalDpi="300" verticalDpi="300" r:id="rId1"/>
      <headerFooter alignWithMargins="0">
        <oddFooter>&amp;R&amp;8&amp;Z&amp;F</oddFooter>
      </headerFooter>
    </customSheetView>
  </customSheetViews>
  <mergeCells count="18">
    <mergeCell ref="C43:F43"/>
    <mergeCell ref="B8:J8"/>
    <mergeCell ref="K1:L1"/>
    <mergeCell ref="K2:L2"/>
    <mergeCell ref="E3:F3"/>
    <mergeCell ref="D4:F4"/>
    <mergeCell ref="E5:F5"/>
    <mergeCell ref="A7:L7"/>
    <mergeCell ref="K3:L3"/>
    <mergeCell ref="A1:C1"/>
    <mergeCell ref="A2:B2"/>
    <mergeCell ref="C52:J52"/>
    <mergeCell ref="C51:I51"/>
    <mergeCell ref="C44:L44"/>
    <mergeCell ref="C45:I45"/>
    <mergeCell ref="C46:L46"/>
    <mergeCell ref="C47:I47"/>
    <mergeCell ref="C50:I50"/>
  </mergeCells>
  <conditionalFormatting sqref="G3">
    <cfRule type="containsText" dxfId="259" priority="62" stopIfTrue="1" operator="containsText" text="Not Ok">
      <formula>NOT(ISERROR(SEARCH("Not Ok",G3)))</formula>
    </cfRule>
    <cfRule type="containsText" dxfId="258" priority="63" stopIfTrue="1" operator="containsText" text="Not Ok">
      <formula>NOT(ISERROR(SEARCH("Not Ok",G3)))</formula>
    </cfRule>
  </conditionalFormatting>
  <conditionalFormatting sqref="G3">
    <cfRule type="containsText" dxfId="257" priority="61" stopIfTrue="1" operator="containsText" text="Not Ok">
      <formula>NOT(ISERROR(SEARCH("Not Ok",G3)))</formula>
    </cfRule>
  </conditionalFormatting>
  <conditionalFormatting sqref="C45:H47 I47 C44">
    <cfRule type="containsText" dxfId="256" priority="49" stopIfTrue="1" operator="containsText" text="Not Ok">
      <formula>NOT(ISERROR(SEARCH("Not Ok",C44)))</formula>
    </cfRule>
  </conditionalFormatting>
  <conditionalFormatting sqref="B38:B41">
    <cfRule type="cellIs" dxfId="255" priority="57" stopIfTrue="1" operator="equal">
      <formula>"You cannot claim against this contract until all prior year program income has been expended."</formula>
    </cfRule>
  </conditionalFormatting>
  <conditionalFormatting sqref="M42">
    <cfRule type="cellIs" dxfId="254" priority="56" stopIfTrue="1" operator="equal">
      <formula>"You are over budget on expenditures."</formula>
    </cfRule>
  </conditionalFormatting>
  <conditionalFormatting sqref="M42">
    <cfRule type="containsText" dxfId="253" priority="55" operator="containsText" text="Not Ok">
      <formula>NOT(ISERROR(SEARCH("Not Ok",M42)))</formula>
    </cfRule>
  </conditionalFormatting>
  <conditionalFormatting sqref="C44">
    <cfRule type="containsText" dxfId="252" priority="52" stopIfTrue="1" operator="containsText" text="Not Ok">
      <formula>NOT(ISERROR(SEARCH("Not Ok",C44)))</formula>
    </cfRule>
  </conditionalFormatting>
  <conditionalFormatting sqref="C44:C47">
    <cfRule type="containsText" dxfId="251" priority="50" stopIfTrue="1" operator="containsText" text="Not Ok">
      <formula>NOT(ISERROR(SEARCH("Not Ok",C44)))</formula>
    </cfRule>
    <cfRule type="containsText" dxfId="250" priority="51" stopIfTrue="1" operator="containsText" text="Not Ok">
      <formula>NOT(ISERROR(SEARCH("Not Ok",C44)))</formula>
    </cfRule>
  </conditionalFormatting>
  <conditionalFormatting sqref="C43">
    <cfRule type="cellIs" dxfId="249" priority="48" stopIfTrue="1" operator="equal">
      <formula>"You are over budget on expenditures."</formula>
    </cfRule>
  </conditionalFormatting>
  <conditionalFormatting sqref="C44:L47 C43:E43 G43:L43">
    <cfRule type="containsText" dxfId="248" priority="46" operator="containsText" text="Not Ok">
      <formula>NOT(ISERROR(SEARCH("Not Ok",C43)))</formula>
    </cfRule>
  </conditionalFormatting>
  <conditionalFormatting sqref="N45:N47">
    <cfRule type="containsText" dxfId="247" priority="30" stopIfTrue="1" operator="containsText" text="Not Ok">
      <formula>NOT(ISERROR(SEARCH("Not Ok",N45)))</formula>
    </cfRule>
  </conditionalFormatting>
  <conditionalFormatting sqref="N43:N47">
    <cfRule type="containsText" dxfId="246" priority="29" operator="containsText" text="Not Ok">
      <formula>NOT(ISERROR(SEARCH("Not Ok",N43)))</formula>
    </cfRule>
  </conditionalFormatting>
  <conditionalFormatting sqref="M21">
    <cfRule type="containsText" dxfId="245" priority="16" operator="containsText" text="#">
      <formula>NOT(ISERROR(SEARCH("#",M21)))</formula>
    </cfRule>
  </conditionalFormatting>
  <conditionalFormatting sqref="B36:L36">
    <cfRule type="containsText" dxfId="244" priority="15" operator="containsText" text="Error">
      <formula>NOT(ISERROR(SEARCH("Error",B36)))</formula>
    </cfRule>
  </conditionalFormatting>
  <conditionalFormatting sqref="A36">
    <cfRule type="containsText" dxfId="243" priority="14" operator="containsText" text="Enter">
      <formula>NOT(ISERROR(SEARCH("Enter",A36)))</formula>
    </cfRule>
  </conditionalFormatting>
  <conditionalFormatting sqref="B50">
    <cfRule type="cellIs" dxfId="242" priority="13" stopIfTrue="1" operator="equal">
      <formula>"You cannot claim against this contract until all prior year program income has been expended."</formula>
    </cfRule>
  </conditionalFormatting>
  <conditionalFormatting sqref="C50">
    <cfRule type="containsText" dxfId="241" priority="12" operator="containsText" text="You">
      <formula>NOT(ISERROR(SEARCH("You",C50)))</formula>
    </cfRule>
  </conditionalFormatting>
  <conditionalFormatting sqref="C52">
    <cfRule type="containsText" dxfId="240" priority="10" operator="containsText" text="Double">
      <formula>NOT(ISERROR(SEARCH("Double",C52)))</formula>
    </cfRule>
  </conditionalFormatting>
  <conditionalFormatting sqref="C51">
    <cfRule type="containsText" dxfId="239" priority="8" operator="containsText" text="Not Ok">
      <formula>NOT(ISERROR(SEARCH("Not Ok",C51)))</formula>
    </cfRule>
  </conditionalFormatting>
  <conditionalFormatting sqref="N1">
    <cfRule type="containsText" dxfId="238" priority="7" operator="containsText" text="End">
      <formula>NOT(ISERROR(SEARCH("End",N1)))</formula>
    </cfRule>
  </conditionalFormatting>
  <conditionalFormatting sqref="N1">
    <cfRule type="containsText" dxfId="237" priority="6" operator="containsText" text="End">
      <formula>NOT(ISERROR(SEARCH("End",N1)))</formula>
    </cfRule>
  </conditionalFormatting>
  <conditionalFormatting sqref="N2">
    <cfRule type="containsText" dxfId="236" priority="5" operator="containsText" text="Please">
      <formula>NOT(ISERROR(SEARCH("Please",N2)))</formula>
    </cfRule>
  </conditionalFormatting>
  <conditionalFormatting sqref="A1">
    <cfRule type="containsText" dxfId="235" priority="4" operator="containsText" text="End">
      <formula>NOT(ISERROR(SEARCH("End",A1)))</formula>
    </cfRule>
  </conditionalFormatting>
  <conditionalFormatting sqref="A1">
    <cfRule type="containsText" dxfId="234" priority="3" operator="containsText" text="End">
      <formula>NOT(ISERROR(SEARCH("End",A1)))</formula>
    </cfRule>
  </conditionalFormatting>
  <conditionalFormatting sqref="A2:B2">
    <cfRule type="containsText" dxfId="233" priority="2" operator="containsText" text="Please">
      <formula>NOT(ISERROR(SEARCH("Please",A2)))</formula>
    </cfRule>
  </conditionalFormatting>
  <conditionalFormatting sqref="M35">
    <cfRule type="containsText" dxfId="232" priority="1" operator="containsText" text="#">
      <formula>NOT(ISERROR(SEARCH("#",M35)))</formula>
    </cfRule>
  </conditionalFormatting>
  <dataValidations count="1">
    <dataValidation type="whole" allowBlank="1" showInputMessage="1" showErrorMessage="1" errorTitle="Whole Number Validation" error="You must enter all dollars as whole numbers - no decimals (cents) or spaces." sqref="B21:H21" xr:uid="{0165B0ED-35CD-4242-982C-E73FD303D9C3}">
      <formula1>-100000000</formula1>
      <formula2>100000000</formula2>
    </dataValidation>
  </dataValidations>
  <printOptions horizontalCentered="1"/>
  <pageMargins left="0.25" right="0.25" top="0.25" bottom="0.5" header="0" footer="0"/>
  <pageSetup scale="73" orientation="landscape" horizontalDpi="300" verticalDpi="300" r:id="rId2"/>
  <headerFooter alignWithMargins="0">
    <oddFooter>&amp;R&amp;8&amp;Z&amp;F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5E48F-782C-4E34-81BA-9F11B80B9725}">
  <sheetPr>
    <tabColor rgb="FFFFFF00"/>
    <pageSetUpPr fitToPage="1"/>
  </sheetPr>
  <dimension ref="A1:R52"/>
  <sheetViews>
    <sheetView showGridLines="0" showRowColHeader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31.6640625" customWidth="1"/>
    <col min="2" max="12" width="12.6640625" customWidth="1"/>
    <col min="13" max="13" width="15.664062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1316</v>
      </c>
      <c r="L1" s="572"/>
      <c r="M1" s="397"/>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1320</v>
      </c>
      <c r="L2" s="572"/>
      <c r="M2" s="397"/>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03" t="s">
        <v>1321</v>
      </c>
      <c r="L3" s="572"/>
      <c r="M3" s="15"/>
      <c r="N3" s="62"/>
    </row>
    <row r="4" spans="1:14" s="13" customFormat="1" ht="15" customHeight="1">
      <c r="A4" s="17" t="s">
        <v>1125</v>
      </c>
      <c r="B4" s="15"/>
      <c r="C4" s="15"/>
      <c r="D4" s="608" t="e">
        <f>LOOKUP(E5,Date,'Addl Info'!E21:E33)</f>
        <v>#N/A</v>
      </c>
      <c r="E4" s="609"/>
      <c r="F4" s="609"/>
      <c r="G4" s="62"/>
      <c r="H4" s="15"/>
      <c r="I4" s="15"/>
      <c r="J4" s="15"/>
      <c r="K4" s="616" t="s">
        <v>1305</v>
      </c>
      <c r="L4" s="617"/>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634" t="s">
        <v>1318</v>
      </c>
      <c r="L5" s="635"/>
      <c r="M5" s="15"/>
      <c r="N5" s="15"/>
    </row>
    <row r="6" spans="1:14" s="13" customFormat="1" ht="15" customHeight="1">
      <c r="A6" s="17" t="s">
        <v>1127</v>
      </c>
      <c r="B6" s="15"/>
      <c r="C6" s="15"/>
      <c r="D6" s="15"/>
      <c r="E6" s="15"/>
      <c r="F6" s="215" t="s">
        <v>1322</v>
      </c>
      <c r="G6" s="15"/>
      <c r="H6" s="15"/>
      <c r="I6" s="15"/>
      <c r="J6" s="15"/>
      <c r="K6" s="15"/>
      <c r="L6" s="15"/>
      <c r="M6" s="15"/>
      <c r="N6" s="15"/>
    </row>
    <row r="7" spans="1:14" ht="15" customHeight="1">
      <c r="A7" s="606"/>
      <c r="B7" s="607"/>
      <c r="C7" s="607"/>
      <c r="D7" s="607"/>
      <c r="E7" s="607"/>
      <c r="F7" s="607"/>
      <c r="G7" s="607"/>
      <c r="H7" s="607"/>
      <c r="I7" s="607"/>
      <c r="J7" s="607"/>
      <c r="K7" s="607"/>
      <c r="L7" s="607"/>
      <c r="M7" s="397"/>
    </row>
    <row r="8" spans="1:14" s="2" customFormat="1" ht="15" customHeight="1" thickBot="1">
      <c r="A8" s="1"/>
      <c r="B8" s="636" t="s">
        <v>1328</v>
      </c>
      <c r="C8" s="637"/>
      <c r="D8" s="637"/>
      <c r="E8" s="638"/>
      <c r="F8" s="638"/>
      <c r="G8" s="638"/>
      <c r="H8" s="638"/>
      <c r="I8" s="638"/>
      <c r="J8" s="639"/>
    </row>
    <row r="9" spans="1:14" ht="77.099999999999994" customHeight="1">
      <c r="A9" s="187" t="s">
        <v>1128</v>
      </c>
      <c r="B9" s="188" t="s">
        <v>1327</v>
      </c>
      <c r="C9" s="189" t="s">
        <v>352</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06"/>
      <c r="D21" s="323"/>
      <c r="E21" s="323"/>
      <c r="F21" s="323"/>
      <c r="G21" s="323"/>
      <c r="H21" s="323"/>
      <c r="I21" s="323"/>
      <c r="J21" s="323"/>
      <c r="K21" s="323"/>
      <c r="L21" s="324"/>
      <c r="M21" s="308">
        <f>C21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SUM(B10:B34)</f>
        <v>0</v>
      </c>
      <c r="C35" s="316">
        <f t="shared" ref="C35:L35" si="0">SUM(C10:C34)</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08">
        <f>C35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5" customHeight="1">
      <c r="A38" s="397"/>
      <c r="B38" s="12"/>
      <c r="C38" s="12"/>
      <c r="D38" s="12"/>
      <c r="E38" s="12"/>
      <c r="F38" s="12"/>
      <c r="G38" s="12"/>
      <c r="H38" s="12"/>
      <c r="I38" s="12"/>
      <c r="J38" s="12"/>
      <c r="K38" s="12"/>
      <c r="L38" s="12"/>
      <c r="M38" s="397"/>
    </row>
    <row r="39" spans="1:14" ht="15" customHeight="1">
      <c r="A39" s="15" t="s">
        <v>1308</v>
      </c>
      <c r="B39" s="397"/>
      <c r="C39" s="397"/>
      <c r="D39" s="15" t="s">
        <v>1309</v>
      </c>
      <c r="E39" s="218">
        <v>0</v>
      </c>
      <c r="F39" s="397"/>
      <c r="G39" s="15" t="s">
        <v>1310</v>
      </c>
      <c r="H39" s="218">
        <v>0</v>
      </c>
      <c r="I39" s="397"/>
      <c r="J39" s="397"/>
      <c r="K39" s="397"/>
      <c r="L39" s="397"/>
      <c r="M39" s="397"/>
    </row>
    <row r="42" spans="1:14" ht="15" customHeight="1">
      <c r="A42" s="15"/>
      <c r="B42" s="397"/>
      <c r="C42" s="397"/>
      <c r="D42" s="15"/>
      <c r="E42" s="241"/>
      <c r="F42" s="397"/>
      <c r="G42" s="15"/>
      <c r="H42" s="241"/>
      <c r="I42" s="397"/>
      <c r="J42" s="397"/>
      <c r="K42" s="397"/>
      <c r="L42" s="397"/>
      <c r="M42" s="397"/>
    </row>
    <row r="43" spans="1:14" ht="15" customHeight="1">
      <c r="A43" s="397" t="s">
        <v>1161</v>
      </c>
      <c r="B43" s="640" t="s">
        <v>1322</v>
      </c>
      <c r="C43" s="574"/>
      <c r="D43" s="574"/>
      <c r="E43" s="574"/>
      <c r="F43" s="397"/>
      <c r="G43" s="397"/>
      <c r="H43" s="397"/>
      <c r="I43" s="397"/>
      <c r="J43" s="397"/>
      <c r="K43" s="397"/>
      <c r="L43" s="397"/>
      <c r="M43" s="397"/>
      <c r="N43" s="166"/>
    </row>
    <row r="44" spans="1:14" ht="15" customHeight="1">
      <c r="A44" s="397"/>
      <c r="B44" s="397"/>
      <c r="C44" s="397"/>
      <c r="D44" s="397"/>
      <c r="E44" s="397"/>
      <c r="F44" s="397"/>
      <c r="G44" s="397"/>
      <c r="H44" s="397"/>
      <c r="I44" s="397"/>
      <c r="J44" s="397"/>
      <c r="K44" s="397"/>
      <c r="L44" s="397"/>
      <c r="M44" s="397"/>
      <c r="N44" s="17"/>
    </row>
    <row r="45" spans="1:14" ht="15" customHeight="1">
      <c r="A45" s="397"/>
      <c r="B45" s="11"/>
      <c r="C45" s="17"/>
      <c r="D45" s="11"/>
      <c r="E45" s="25"/>
      <c r="F45" s="25"/>
      <c r="G45" s="397"/>
      <c r="H45" s="397"/>
      <c r="I45" s="397"/>
      <c r="J45" s="397"/>
      <c r="K45" s="397"/>
      <c r="L45" s="397"/>
      <c r="M45" s="397"/>
    </row>
    <row r="46" spans="1:14" ht="15" customHeight="1">
      <c r="A46" s="397"/>
      <c r="B46" s="397"/>
      <c r="C46" s="397"/>
      <c r="D46" s="397"/>
      <c r="E46" s="397"/>
      <c r="F46" s="397"/>
      <c r="G46" s="397"/>
      <c r="H46" s="397"/>
      <c r="I46" s="397"/>
      <c r="J46" s="397"/>
      <c r="K46" s="397"/>
      <c r="L46" s="397"/>
      <c r="M46" s="397"/>
      <c r="N46" s="17"/>
    </row>
    <row r="47" spans="1:14" ht="15" customHeight="1">
      <c r="A47" s="397"/>
      <c r="B47" s="633"/>
      <c r="C47" s="574"/>
      <c r="D47" s="574"/>
      <c r="E47" s="574"/>
      <c r="F47" s="574"/>
      <c r="G47" s="574"/>
      <c r="H47" s="574"/>
      <c r="I47" s="574"/>
      <c r="J47" s="397"/>
      <c r="K47" s="397"/>
      <c r="L47" s="397"/>
      <c r="M47" s="397"/>
    </row>
    <row r="50" spans="1:18" s="15" customFormat="1" ht="12.9" customHeight="1">
      <c r="B50" s="227"/>
      <c r="C50" s="600"/>
      <c r="D50" s="574"/>
      <c r="E50" s="574"/>
      <c r="F50" s="574"/>
      <c r="G50" s="574"/>
      <c r="H50" s="574"/>
      <c r="I50" s="574"/>
      <c r="M50" s="167" t="str">
        <f>IF(B50="x","X","")</f>
        <v/>
      </c>
      <c r="N50" s="146"/>
      <c r="O50" s="146"/>
      <c r="P50" s="146"/>
      <c r="Q50" s="146"/>
      <c r="R50" s="146"/>
    </row>
    <row r="51" spans="1:18" s="15" customFormat="1" ht="12.9" customHeight="1">
      <c r="A51" s="15" t="e">
        <f>IF(B51="x","Non-Submission Period","")</f>
        <v>#N/A</v>
      </c>
      <c r="B51" s="227" t="e">
        <f>IF(AND(D4="Non-Submission Period",C35&gt;0),"X","")</f>
        <v>#N/A</v>
      </c>
      <c r="C51" s="600" t="e">
        <f>IF(B51="x","Not Ok - You cannot claim against this contract as this is a Non-Submission Period for the contract.","")</f>
        <v>#N/A</v>
      </c>
      <c r="D51" s="574"/>
      <c r="E51" s="574"/>
      <c r="F51" s="574"/>
      <c r="G51" s="574"/>
      <c r="H51" s="574"/>
      <c r="I51" s="574"/>
      <c r="M51" s="367" t="str">
        <f t="shared" ref="M51" si="1">IF(ISNUMBER(SEARCH("Not Ok",C51)), "X", "")</f>
        <v/>
      </c>
    </row>
    <row r="52" spans="1:18" s="15" customFormat="1" ht="12.9" customHeight="1">
      <c r="B52" s="156" t="str">
        <f>IF(OR(N37="x",N36="x"),"X","")</f>
        <v/>
      </c>
      <c r="C52" s="601" t="str">
        <f>IF(OR(N37="x",N36="x"),"Double check your columns for '#VALUE!' - this indicates an error on that line item.","")</f>
        <v/>
      </c>
      <c r="D52" s="601"/>
      <c r="E52" s="601"/>
      <c r="F52" s="601"/>
      <c r="G52" s="601"/>
      <c r="H52" s="601"/>
      <c r="I52" s="601"/>
      <c r="J52" s="574"/>
      <c r="M52" s="167" t="str">
        <f>IF(B52="x","X","")</f>
        <v/>
      </c>
    </row>
  </sheetData>
  <sheetProtection password="C3C4" sheet="1" objects="1" scenarios="1"/>
  <mergeCells count="17">
    <mergeCell ref="B43:E43"/>
    <mergeCell ref="B47:I47"/>
    <mergeCell ref="C50:I50"/>
    <mergeCell ref="C51:I51"/>
    <mergeCell ref="C52:J52"/>
    <mergeCell ref="B8:J8"/>
    <mergeCell ref="A1:C1"/>
    <mergeCell ref="K1:L1"/>
    <mergeCell ref="A2:B2"/>
    <mergeCell ref="K2:L2"/>
    <mergeCell ref="E3:F3"/>
    <mergeCell ref="K3:L3"/>
    <mergeCell ref="D4:F4"/>
    <mergeCell ref="K4:L4"/>
    <mergeCell ref="E5:F5"/>
    <mergeCell ref="K5:L5"/>
    <mergeCell ref="A7:L7"/>
  </mergeCells>
  <conditionalFormatting sqref="G3">
    <cfRule type="containsText" dxfId="231" priority="20" stopIfTrue="1" operator="containsText" text="Not Ok">
      <formula>NOT(ISERROR(SEARCH("Not Ok",G3)))</formula>
    </cfRule>
    <cfRule type="containsText" dxfId="230" priority="21" stopIfTrue="1" operator="containsText" text="Not Ok">
      <formula>NOT(ISERROR(SEARCH("Not Ok",G3)))</formula>
    </cfRule>
  </conditionalFormatting>
  <conditionalFormatting sqref="G3">
    <cfRule type="containsText" dxfId="229" priority="19" stopIfTrue="1" operator="containsText" text="Not Ok">
      <formula>NOT(ISERROR(SEARCH("Not Ok",G3)))</formula>
    </cfRule>
  </conditionalFormatting>
  <conditionalFormatting sqref="N45:N47">
    <cfRule type="containsText" dxfId="228" priority="18" stopIfTrue="1" operator="containsText" text="Not Ok">
      <formula>NOT(ISERROR(SEARCH("Not Ok",N45)))</formula>
    </cfRule>
  </conditionalFormatting>
  <conditionalFormatting sqref="N43:N47">
    <cfRule type="containsText" dxfId="227" priority="17" operator="containsText" text="Not Ok">
      <formula>NOT(ISERROR(SEARCH("Not Ok",N43)))</formula>
    </cfRule>
  </conditionalFormatting>
  <conditionalFormatting sqref="M21">
    <cfRule type="containsText" dxfId="226" priority="16" operator="containsText" text="#">
      <formula>NOT(ISERROR(SEARCH("#",M21)))</formula>
    </cfRule>
  </conditionalFormatting>
  <conditionalFormatting sqref="B36:L36">
    <cfRule type="containsText" dxfId="225" priority="15" operator="containsText" text="Error">
      <formula>NOT(ISERROR(SEARCH("Error",B36)))</formula>
    </cfRule>
  </conditionalFormatting>
  <conditionalFormatting sqref="A36">
    <cfRule type="containsText" dxfId="224" priority="14" operator="containsText" text="Enter">
      <formula>NOT(ISERROR(SEARCH("Enter",A36)))</formula>
    </cfRule>
  </conditionalFormatting>
  <conditionalFormatting sqref="B50">
    <cfRule type="cellIs" dxfId="223" priority="13" stopIfTrue="1" operator="equal">
      <formula>"You cannot claim against this contract until all prior year program income has been expended."</formula>
    </cfRule>
  </conditionalFormatting>
  <conditionalFormatting sqref="C50">
    <cfRule type="containsText" dxfId="222" priority="12" operator="containsText" text="You">
      <formula>NOT(ISERROR(SEARCH("You",C50)))</formula>
    </cfRule>
  </conditionalFormatting>
  <conditionalFormatting sqref="M50">
    <cfRule type="containsText" dxfId="221" priority="11" operator="containsText" text="You">
      <formula>NOT(ISERROR(SEARCH("You",M50)))</formula>
    </cfRule>
  </conditionalFormatting>
  <conditionalFormatting sqref="C52">
    <cfRule type="containsText" dxfId="220" priority="10" operator="containsText" text="Double">
      <formula>NOT(ISERROR(SEARCH("Double",C52)))</formula>
    </cfRule>
  </conditionalFormatting>
  <conditionalFormatting sqref="M52">
    <cfRule type="containsText" dxfId="219" priority="9" operator="containsText" text="You">
      <formula>NOT(ISERROR(SEARCH("You",M52)))</formula>
    </cfRule>
  </conditionalFormatting>
  <conditionalFormatting sqref="N1">
    <cfRule type="containsText" dxfId="218" priority="8" operator="containsText" text="End">
      <formula>NOT(ISERROR(SEARCH("End",N1)))</formula>
    </cfRule>
  </conditionalFormatting>
  <conditionalFormatting sqref="N1">
    <cfRule type="containsText" dxfId="217" priority="7" operator="containsText" text="End">
      <formula>NOT(ISERROR(SEARCH("End",N1)))</formula>
    </cfRule>
  </conditionalFormatting>
  <conditionalFormatting sqref="N2">
    <cfRule type="containsText" dxfId="216" priority="6" operator="containsText" text="Please">
      <formula>NOT(ISERROR(SEARCH("Please",N2)))</formula>
    </cfRule>
  </conditionalFormatting>
  <conditionalFormatting sqref="A1">
    <cfRule type="containsText" dxfId="215" priority="5" operator="containsText" text="End">
      <formula>NOT(ISERROR(SEARCH("End",A1)))</formula>
    </cfRule>
  </conditionalFormatting>
  <conditionalFormatting sqref="A1">
    <cfRule type="containsText" dxfId="214" priority="4" operator="containsText" text="End">
      <formula>NOT(ISERROR(SEARCH("End",A1)))</formula>
    </cfRule>
  </conditionalFormatting>
  <conditionalFormatting sqref="A2:B2">
    <cfRule type="containsText" dxfId="213" priority="3" operator="containsText" text="Please">
      <formula>NOT(ISERROR(SEARCH("Please",A2)))</formula>
    </cfRule>
  </conditionalFormatting>
  <conditionalFormatting sqref="C51:I51">
    <cfRule type="containsText" dxfId="212" priority="2" operator="containsText" text="Not Ok">
      <formula>NOT(ISERROR(SEARCH("Not Ok",C51)))</formula>
    </cfRule>
  </conditionalFormatting>
  <conditionalFormatting sqref="M35">
    <cfRule type="containsText" dxfId="211" priority="1" operator="containsText" text="#">
      <formula>NOT(ISERROR(SEARCH("#",M35)))</formula>
    </cfRule>
  </conditionalFormatting>
  <dataValidations count="2">
    <dataValidation type="whole" allowBlank="1" showInputMessage="1" showErrorMessage="1" errorTitle="Whole Number Validation" error="You must enter all dollars as whole numbers - no decimals (cents) or spaces." sqref="E39:H39" xr:uid="{84A9D1DF-F733-46B1-B571-2CDD47D0EFFA}">
      <formula1>0</formula1>
      <formula2>1000000</formula2>
    </dataValidation>
    <dataValidation type="whole" allowBlank="1" showInputMessage="1" showErrorMessage="1" errorTitle="Whole Number Validation" error="You must enter all dollars as whole numbers - no decimals (cents) or spaces." sqref="B21:H21" xr:uid="{2AB996E5-AD7D-4D4B-9DE7-84C41FD3780D}">
      <formula1>-100000000</formula1>
      <formula2>100000000</formula2>
    </dataValidation>
  </dataValidations>
  <printOptions horizontalCentered="1"/>
  <pageMargins left="0.25" right="0.25" top="0.25" bottom="0.5" header="0" footer="0"/>
  <pageSetup scale="72" orientation="landscape" horizontalDpi="300" verticalDpi="300" r:id="rId1"/>
  <headerFooter alignWithMargins="0">
    <oddFooter>&amp;R&amp;8&amp;Z&amp;F</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9B7AF-0E52-4A5C-AD75-787226F5E4E8}">
  <sheetPr>
    <tabColor rgb="FFFFFF00"/>
    <pageSetUpPr fitToPage="1"/>
  </sheetPr>
  <dimension ref="A1:R84"/>
  <sheetViews>
    <sheetView showGridLines="0" showRowColHeader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31.6640625" customWidth="1"/>
    <col min="2" max="12" width="12.6640625" customWidth="1"/>
    <col min="13" max="13" width="15.6640625" customWidth="1"/>
    <col min="14" max="14" width="9.109375" style="15"/>
  </cols>
  <sheetData>
    <row r="1" spans="1:14" s="13" customFormat="1" ht="15" customHeight="1">
      <c r="A1" s="601" t="str">
        <f>IF(N1="x","End of Year approaching, please address errors listed below.","")</f>
        <v/>
      </c>
      <c r="B1" s="601"/>
      <c r="C1" s="601"/>
      <c r="D1" s="15"/>
      <c r="E1" s="15"/>
      <c r="F1" s="15"/>
      <c r="G1" s="15"/>
      <c r="H1" s="15"/>
      <c r="I1" s="15"/>
      <c r="J1" s="15"/>
      <c r="K1" s="604" t="s">
        <v>1316</v>
      </c>
      <c r="L1" s="572"/>
      <c r="M1" s="397"/>
      <c r="N1" s="167" t="str">
        <f>IF(AND(G5="x",OR(M43="x",M44="x",M45="x",M46="x",M47="x",M50="x",M51="x",M52="x")),"x","")</f>
        <v/>
      </c>
    </row>
    <row r="2" spans="1:14" s="13" customFormat="1" ht="15" customHeight="1">
      <c r="A2" s="601" t="str">
        <f>IF(N2="x","Please address the errors listed below.","")</f>
        <v/>
      </c>
      <c r="B2" s="574"/>
      <c r="C2" s="15"/>
      <c r="D2" s="15"/>
      <c r="E2" s="15"/>
      <c r="F2" s="156" t="s">
        <v>1121</v>
      </c>
      <c r="G2" s="15"/>
      <c r="H2" s="15"/>
      <c r="I2" s="15"/>
      <c r="J2" s="15"/>
      <c r="K2" s="603" t="s">
        <v>1324</v>
      </c>
      <c r="L2" s="572"/>
      <c r="M2" s="397"/>
      <c r="N2" s="167" t="str">
        <f>IF(G5="x","",IF(OR(M50="x",M51="x",M43="x"),"x",""))</f>
        <v/>
      </c>
    </row>
    <row r="3" spans="1:14" s="13" customFormat="1" ht="15" customHeight="1">
      <c r="A3" s="17" t="s">
        <v>1123</v>
      </c>
      <c r="B3" s="15"/>
      <c r="C3" s="15"/>
      <c r="D3" s="15"/>
      <c r="E3" s="608" t="str">
        <f>CAUTAU!A99</f>
        <v>Menominee Tribe</v>
      </c>
      <c r="F3" s="608"/>
      <c r="G3" s="167" t="str">
        <f>LOOKUP(E3,Allocations!A4:A92,Allocations!B4:B92)</f>
        <v>X</v>
      </c>
      <c r="H3" s="15"/>
      <c r="I3" s="15"/>
      <c r="J3" s="15"/>
      <c r="K3" s="616" t="s">
        <v>1318</v>
      </c>
      <c r="L3" s="617"/>
      <c r="M3" s="15"/>
      <c r="N3" s="62"/>
    </row>
    <row r="4" spans="1:14" s="13" customFormat="1" ht="15" customHeight="1">
      <c r="A4" s="17" t="s">
        <v>1125</v>
      </c>
      <c r="B4" s="15"/>
      <c r="C4" s="15"/>
      <c r="D4" s="608" t="e">
        <f>LOOKUP(E5,Date,'Addl Info'!E21:E33)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15"/>
      <c r="L5" s="15"/>
      <c r="M5" s="15"/>
      <c r="N5" s="15"/>
    </row>
    <row r="6" spans="1:14" s="13" customFormat="1" ht="15" customHeight="1">
      <c r="A6" s="17" t="s">
        <v>1127</v>
      </c>
      <c r="B6" s="15"/>
      <c r="C6" s="15"/>
      <c r="D6" s="15"/>
      <c r="E6" s="15"/>
      <c r="F6" s="215" t="s">
        <v>1322</v>
      </c>
      <c r="G6" s="15"/>
      <c r="H6" s="15"/>
      <c r="I6" s="15"/>
      <c r="J6" s="15"/>
      <c r="K6" s="15"/>
      <c r="L6" s="15"/>
      <c r="M6" s="15"/>
      <c r="N6" s="15"/>
    </row>
    <row r="7" spans="1:14" ht="15" customHeight="1">
      <c r="A7" s="606"/>
      <c r="B7" s="607"/>
      <c r="C7" s="607"/>
      <c r="D7" s="607"/>
      <c r="E7" s="607"/>
      <c r="F7" s="607"/>
      <c r="G7" s="607"/>
      <c r="H7" s="607"/>
      <c r="I7" s="607"/>
      <c r="J7" s="607"/>
      <c r="K7" s="607"/>
      <c r="L7" s="607"/>
      <c r="M7" s="397"/>
    </row>
    <row r="8" spans="1:14" s="2" customFormat="1" ht="15" customHeight="1" thickBot="1">
      <c r="A8" s="1"/>
      <c r="B8" s="636" t="s">
        <v>1329</v>
      </c>
      <c r="C8" s="637"/>
      <c r="D8" s="637"/>
      <c r="E8" s="638"/>
      <c r="F8" s="638"/>
      <c r="G8" s="638"/>
      <c r="H8" s="638"/>
      <c r="I8" s="638"/>
      <c r="J8" s="639"/>
    </row>
    <row r="9" spans="1:14" ht="77.099999999999994" customHeight="1">
      <c r="A9" s="187" t="s">
        <v>1128</v>
      </c>
      <c r="B9" s="188" t="s">
        <v>1327</v>
      </c>
      <c r="C9" s="189" t="s">
        <v>352</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06"/>
      <c r="D21" s="323"/>
      <c r="E21" s="323"/>
      <c r="F21" s="323"/>
      <c r="G21" s="323"/>
      <c r="H21" s="323"/>
      <c r="I21" s="323"/>
      <c r="J21" s="323"/>
      <c r="K21" s="323"/>
      <c r="L21" s="324"/>
      <c r="M21" s="308">
        <f>C21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SUM(B10:B34)</f>
        <v>0</v>
      </c>
      <c r="C35" s="316">
        <f t="shared" ref="C35:L35" si="0">SUM(C10:C34)</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08">
        <f>C35</f>
        <v>0</v>
      </c>
      <c r="N35" s="225"/>
    </row>
    <row r="36" spans="1:14" s="15" customFormat="1" ht="12.9" customHeight="1">
      <c r="A36" s="17" t="str">
        <f>IF(M36="x","Enter in whole dollars.","")</f>
        <v/>
      </c>
      <c r="B36" s="171"/>
      <c r="C36" s="171"/>
      <c r="D36" s="171" t="str">
        <f t="shared" ref="D36:L36" si="1">IF(MOD(D34,1)=0,"","Error")</f>
        <v/>
      </c>
      <c r="E36" s="171" t="str">
        <f t="shared" si="1"/>
        <v/>
      </c>
      <c r="F36" s="171" t="str">
        <f t="shared" si="1"/>
        <v/>
      </c>
      <c r="G36" s="171"/>
      <c r="H36" s="171" t="str">
        <f t="shared" si="1"/>
        <v/>
      </c>
      <c r="I36" s="171" t="str">
        <f t="shared" si="1"/>
        <v/>
      </c>
      <c r="J36" s="171" t="str">
        <f t="shared" si="1"/>
        <v/>
      </c>
      <c r="K36" s="171" t="str">
        <f t="shared" si="1"/>
        <v/>
      </c>
      <c r="L36" s="171" t="str">
        <f t="shared" si="1"/>
        <v/>
      </c>
      <c r="M36" s="226" t="str">
        <f>IF(ISERROR(MATCH("error",B36:L36,0)),"","x")</f>
        <v/>
      </c>
      <c r="N36" s="226"/>
    </row>
    <row r="37" spans="1:14" s="15" customFormat="1" ht="12.9" customHeight="1">
      <c r="B37" s="225"/>
      <c r="C37" s="225"/>
      <c r="D37" s="225">
        <f t="shared" ref="D37:L37" si="2">IFERROR(D35,"x")</f>
        <v>0</v>
      </c>
      <c r="E37" s="225">
        <f t="shared" si="2"/>
        <v>0</v>
      </c>
      <c r="F37" s="225">
        <f t="shared" si="2"/>
        <v>0</v>
      </c>
      <c r="G37" s="225"/>
      <c r="H37" s="225">
        <f t="shared" si="2"/>
        <v>0</v>
      </c>
      <c r="I37" s="225">
        <f t="shared" si="2"/>
        <v>0</v>
      </c>
      <c r="J37" s="225">
        <f t="shared" si="2"/>
        <v>0</v>
      </c>
      <c r="K37" s="225">
        <f t="shared" si="2"/>
        <v>0</v>
      </c>
      <c r="L37" s="225">
        <f t="shared" si="2"/>
        <v>0</v>
      </c>
      <c r="N37" s="226"/>
    </row>
    <row r="38" spans="1:14" ht="12.9" customHeight="1">
      <c r="A38" s="397"/>
      <c r="B38" s="12"/>
      <c r="C38" s="12"/>
      <c r="D38" s="12"/>
      <c r="E38" s="12"/>
      <c r="F38" s="12"/>
      <c r="G38" s="12"/>
      <c r="H38" s="12"/>
      <c r="I38" s="12"/>
      <c r="J38" s="12"/>
      <c r="K38" s="12"/>
      <c r="L38" s="12"/>
      <c r="M38" s="397"/>
    </row>
    <row r="39" spans="1:14" ht="12.9" customHeight="1">
      <c r="A39" s="397"/>
      <c r="B39" s="397"/>
      <c r="C39" s="397"/>
      <c r="D39" s="397"/>
      <c r="E39" s="397"/>
      <c r="F39" s="397"/>
      <c r="G39" s="397"/>
      <c r="H39" s="397"/>
      <c r="I39" s="397"/>
      <c r="J39" s="397"/>
      <c r="K39" s="397"/>
      <c r="L39" s="397"/>
      <c r="M39" s="397"/>
    </row>
    <row r="40" spans="1:14" ht="12.9" customHeight="1">
      <c r="A40" s="397"/>
      <c r="B40" s="397"/>
      <c r="C40" s="397"/>
      <c r="D40" s="397"/>
      <c r="E40" s="397"/>
      <c r="F40" s="397"/>
      <c r="G40" s="397"/>
      <c r="H40" s="397"/>
      <c r="I40" s="397"/>
      <c r="J40" s="397"/>
      <c r="K40" s="397"/>
      <c r="L40" s="397"/>
      <c r="M40" s="397"/>
    </row>
    <row r="41" spans="1:14" ht="12.9" customHeight="1">
      <c r="A41" s="397"/>
      <c r="B41" s="397"/>
      <c r="C41" s="397"/>
      <c r="D41" s="397"/>
      <c r="E41" s="397"/>
      <c r="F41" s="397"/>
      <c r="G41" s="397"/>
      <c r="H41" s="397"/>
      <c r="I41" s="397"/>
      <c r="J41" s="397"/>
      <c r="K41" s="397"/>
      <c r="L41" s="397"/>
      <c r="M41" s="397"/>
    </row>
    <row r="42" spans="1:14" ht="12.9" customHeight="1">
      <c r="A42" s="397"/>
      <c r="B42" s="397"/>
      <c r="C42" s="397"/>
      <c r="D42" s="397"/>
      <c r="E42" s="397"/>
      <c r="F42" s="397"/>
      <c r="G42" s="397"/>
      <c r="H42" s="397"/>
      <c r="I42" s="397"/>
      <c r="J42" s="397"/>
      <c r="K42" s="397"/>
      <c r="L42" s="397"/>
      <c r="M42" s="397"/>
    </row>
    <row r="43" spans="1:14" ht="12.9" customHeight="1">
      <c r="A43" s="397" t="s">
        <v>1161</v>
      </c>
      <c r="B43" s="640" t="s">
        <v>1322</v>
      </c>
      <c r="C43" s="574"/>
      <c r="D43" s="574"/>
      <c r="E43" s="574"/>
      <c r="F43" s="397"/>
      <c r="G43" s="397"/>
      <c r="H43" s="397"/>
      <c r="I43" s="397"/>
      <c r="J43" s="397"/>
      <c r="K43" s="397"/>
      <c r="L43" s="397"/>
      <c r="M43" s="397"/>
      <c r="N43" s="166"/>
    </row>
    <row r="44" spans="1:14" ht="12.9" customHeight="1">
      <c r="A44" s="397"/>
      <c r="B44" s="397"/>
      <c r="C44" s="397"/>
      <c r="D44" s="397"/>
      <c r="E44" s="397"/>
      <c r="F44" s="397"/>
      <c r="G44" s="397"/>
      <c r="H44" s="397"/>
      <c r="I44" s="397"/>
      <c r="J44" s="397"/>
      <c r="K44" s="397"/>
      <c r="L44" s="397"/>
      <c r="M44" s="397"/>
      <c r="N44" s="17"/>
    </row>
    <row r="45" spans="1:14" ht="12.9" customHeight="1">
      <c r="A45" s="397"/>
      <c r="B45" s="20"/>
      <c r="C45" s="17"/>
      <c r="D45" s="20"/>
      <c r="E45" s="25"/>
      <c r="F45" s="25"/>
      <c r="G45" s="397"/>
      <c r="H45" s="397"/>
      <c r="I45" s="397"/>
      <c r="J45" s="397"/>
      <c r="K45" s="397"/>
      <c r="L45" s="397"/>
      <c r="M45" s="397"/>
    </row>
    <row r="46" spans="1:14" ht="12.9" customHeight="1">
      <c r="A46" s="397"/>
      <c r="B46" s="397"/>
      <c r="C46" s="397"/>
      <c r="D46" s="397"/>
      <c r="E46" s="397"/>
      <c r="F46" s="397"/>
      <c r="G46" s="397"/>
      <c r="H46" s="397"/>
      <c r="I46" s="397"/>
      <c r="J46" s="397"/>
      <c r="K46" s="397"/>
      <c r="L46" s="397"/>
      <c r="M46" s="397"/>
      <c r="N46" s="17"/>
    </row>
    <row r="47" spans="1:14" ht="12.9" customHeight="1">
      <c r="A47" s="397"/>
      <c r="B47" s="397"/>
      <c r="C47" s="397"/>
      <c r="D47" s="397"/>
      <c r="E47" s="397"/>
      <c r="F47" s="397"/>
      <c r="G47" s="397"/>
      <c r="H47" s="397"/>
      <c r="I47" s="397"/>
      <c r="J47" s="397"/>
      <c r="K47" s="397"/>
      <c r="L47" s="397"/>
      <c r="M47" s="397"/>
    </row>
    <row r="48" spans="1:14" ht="12.9" customHeight="1">
      <c r="A48" s="397"/>
      <c r="B48" s="397"/>
      <c r="C48" s="397"/>
      <c r="D48" s="397"/>
      <c r="E48" s="397"/>
      <c r="F48" s="397"/>
      <c r="G48" s="397"/>
      <c r="H48" s="397"/>
      <c r="I48" s="397"/>
      <c r="J48" s="397"/>
      <c r="K48" s="397"/>
      <c r="L48" s="397"/>
      <c r="M48" s="397"/>
    </row>
    <row r="49" spans="1:18" ht="12.9" customHeight="1">
      <c r="A49" s="397"/>
      <c r="B49" s="397"/>
      <c r="C49" s="397"/>
      <c r="D49" s="397"/>
      <c r="E49" s="397"/>
      <c r="F49" s="397"/>
      <c r="G49" s="397"/>
      <c r="H49" s="397"/>
      <c r="I49" s="397"/>
      <c r="J49" s="397"/>
      <c r="K49" s="397"/>
      <c r="L49" s="397"/>
      <c r="M49" s="397"/>
      <c r="O49" s="397"/>
      <c r="P49" s="397"/>
      <c r="Q49" s="397"/>
      <c r="R49" s="397"/>
    </row>
    <row r="50" spans="1:18" s="15" customFormat="1" ht="12.9" customHeight="1">
      <c r="A50" s="15" t="str">
        <f>IF(B50="X","Program Income Carryover","")</f>
        <v/>
      </c>
      <c r="B50" s="227"/>
      <c r="C50" s="600"/>
      <c r="D50" s="574"/>
      <c r="E50" s="574"/>
      <c r="F50" s="574"/>
      <c r="G50" s="574"/>
      <c r="H50" s="574"/>
      <c r="I50" s="574"/>
      <c r="M50" s="167" t="str">
        <f>IF(B50="x","X","")</f>
        <v/>
      </c>
      <c r="N50" s="146"/>
      <c r="O50" s="146"/>
      <c r="P50" s="146"/>
      <c r="Q50" s="146"/>
      <c r="R50" s="146"/>
    </row>
    <row r="51" spans="1:18" s="15" customFormat="1" ht="12.9" customHeight="1">
      <c r="A51" s="15" t="e">
        <f>IF(B51="x","Non-Submission Period","")</f>
        <v>#N/A</v>
      </c>
      <c r="B51" s="227" t="e">
        <f>IF(AND(D4="Non-Submission Period",C35&gt;0),"X","")</f>
        <v>#N/A</v>
      </c>
      <c r="C51" s="600" t="e">
        <f>IF(B51="x","Not Ok - You cannot claim against this contract as this is a Non-Submission Period for the contract.","")</f>
        <v>#N/A</v>
      </c>
      <c r="D51" s="574"/>
      <c r="E51" s="574"/>
      <c r="F51" s="574"/>
      <c r="G51" s="574"/>
      <c r="H51" s="574"/>
      <c r="I51" s="574"/>
      <c r="M51" s="367" t="str">
        <f t="shared" ref="M51" si="3">IF(ISNUMBER(SEARCH("Not Ok",C51)), "X", "")</f>
        <v/>
      </c>
    </row>
    <row r="52" spans="1:18" s="15" customFormat="1" ht="12.9" customHeight="1">
      <c r="A52" s="15" t="str">
        <f>IF(OR(N37="x",N36="x"),"Cell Error","")</f>
        <v/>
      </c>
      <c r="B52" s="156" t="str">
        <f>IF(OR(N37="x",N36="x"),"X","")</f>
        <v/>
      </c>
      <c r="C52" s="601" t="str">
        <f>IF(OR(N37="x",N36="x"),"Double check your columns for '#VALUE!' - this indicates an error on that line item.","")</f>
        <v/>
      </c>
      <c r="D52" s="601"/>
      <c r="E52" s="601"/>
      <c r="F52" s="601"/>
      <c r="G52" s="601"/>
      <c r="H52" s="601"/>
      <c r="I52" s="601"/>
      <c r="J52" s="574"/>
      <c r="M52" s="167" t="str">
        <f>IF(B52="x","X","")</f>
        <v/>
      </c>
    </row>
    <row r="53" spans="1:18" ht="12.9" customHeight="1">
      <c r="A53" s="397"/>
      <c r="B53" s="397"/>
      <c r="C53" s="397"/>
      <c r="D53" s="397"/>
      <c r="E53" s="397"/>
      <c r="F53" s="397"/>
      <c r="G53" s="397"/>
      <c r="H53" s="397"/>
      <c r="I53" s="397"/>
      <c r="J53" s="397"/>
      <c r="K53" s="397"/>
      <c r="L53" s="397"/>
      <c r="M53" s="397"/>
      <c r="O53" s="397"/>
      <c r="P53" s="397"/>
      <c r="Q53" s="397"/>
      <c r="R53" s="397"/>
    </row>
    <row r="54" spans="1:18" ht="12.9" customHeight="1">
      <c r="A54" s="397"/>
      <c r="B54" s="397"/>
      <c r="C54" s="397"/>
      <c r="D54" s="397"/>
      <c r="E54" s="397"/>
      <c r="F54" s="397"/>
      <c r="G54" s="397"/>
      <c r="H54" s="397"/>
      <c r="I54" s="397"/>
      <c r="J54" s="397"/>
      <c r="K54" s="397"/>
      <c r="L54" s="397"/>
      <c r="M54" s="397"/>
      <c r="O54" s="397"/>
      <c r="P54" s="397"/>
      <c r="Q54" s="397"/>
      <c r="R54" s="397"/>
    </row>
    <row r="55" spans="1:18" ht="12.9" customHeight="1">
      <c r="A55" s="397"/>
      <c r="B55" s="397"/>
      <c r="C55" s="397"/>
      <c r="D55" s="397"/>
      <c r="E55" s="397"/>
      <c r="F55" s="397"/>
      <c r="G55" s="397"/>
      <c r="H55" s="397"/>
      <c r="I55" s="397"/>
      <c r="J55" s="397"/>
      <c r="K55" s="397"/>
      <c r="L55" s="397"/>
      <c r="M55" s="397"/>
      <c r="O55" s="397"/>
      <c r="P55" s="397"/>
      <c r="Q55" s="397"/>
      <c r="R55" s="397"/>
    </row>
    <row r="56" spans="1:18" ht="12.9" customHeight="1">
      <c r="A56" s="397"/>
      <c r="B56" s="397"/>
      <c r="C56" s="397"/>
      <c r="D56" s="397"/>
      <c r="E56" s="397"/>
      <c r="F56" s="397"/>
      <c r="G56" s="397"/>
      <c r="H56" s="397"/>
      <c r="I56" s="397"/>
      <c r="J56" s="397"/>
      <c r="K56" s="397"/>
      <c r="L56" s="397"/>
      <c r="M56" s="397"/>
      <c r="O56" s="397"/>
      <c r="P56" s="397"/>
      <c r="Q56" s="397"/>
      <c r="R56" s="397"/>
    </row>
    <row r="57" spans="1:18" ht="12.9" customHeight="1">
      <c r="A57" s="397"/>
      <c r="B57" s="397"/>
      <c r="C57" s="397"/>
      <c r="D57" s="397"/>
      <c r="E57" s="397"/>
      <c r="F57" s="397"/>
      <c r="G57" s="397"/>
      <c r="H57" s="397"/>
      <c r="I57" s="397"/>
      <c r="J57" s="397"/>
      <c r="K57" s="397"/>
      <c r="L57" s="397"/>
      <c r="M57" s="397"/>
      <c r="O57" s="397"/>
      <c r="P57" s="397"/>
      <c r="Q57" s="397"/>
      <c r="R57" s="397"/>
    </row>
    <row r="58" spans="1:18" ht="12.9" customHeight="1">
      <c r="A58" s="397"/>
      <c r="B58" s="397"/>
      <c r="C58" s="397"/>
      <c r="D58" s="397"/>
      <c r="E58" s="397"/>
      <c r="F58" s="397"/>
      <c r="G58" s="397"/>
      <c r="H58" s="397"/>
      <c r="I58" s="397"/>
      <c r="J58" s="397"/>
      <c r="K58" s="397"/>
      <c r="L58" s="397"/>
      <c r="M58" s="397"/>
      <c r="O58" s="397"/>
      <c r="P58" s="397"/>
      <c r="Q58" s="397"/>
      <c r="R58" s="397"/>
    </row>
    <row r="59" spans="1:18" ht="12.9" customHeight="1">
      <c r="A59" s="397"/>
      <c r="B59" s="397"/>
      <c r="C59" s="397"/>
      <c r="D59" s="397"/>
      <c r="E59" s="397"/>
      <c r="F59" s="397"/>
      <c r="G59" s="397"/>
      <c r="H59" s="397"/>
      <c r="I59" s="397"/>
      <c r="J59" s="397"/>
      <c r="K59" s="397"/>
      <c r="L59" s="397"/>
      <c r="M59" s="397"/>
      <c r="O59" s="397"/>
      <c r="P59" s="397"/>
      <c r="Q59" s="397"/>
      <c r="R59" s="397"/>
    </row>
    <row r="60" spans="1:18" ht="12.9" customHeight="1">
      <c r="A60" s="397"/>
      <c r="B60" s="397"/>
      <c r="C60" s="397"/>
      <c r="D60" s="397"/>
      <c r="E60" s="397"/>
      <c r="F60" s="397"/>
      <c r="G60" s="397"/>
      <c r="H60" s="397"/>
      <c r="I60" s="397"/>
      <c r="J60" s="397"/>
      <c r="K60" s="397"/>
      <c r="L60" s="397"/>
      <c r="M60" s="397"/>
      <c r="O60" s="397"/>
      <c r="P60" s="397"/>
      <c r="Q60" s="397"/>
      <c r="R60" s="397"/>
    </row>
    <row r="61" spans="1:18" ht="12.9" customHeight="1">
      <c r="A61" s="397"/>
      <c r="B61" s="397"/>
      <c r="C61" s="397"/>
      <c r="D61" s="397"/>
      <c r="E61" s="397"/>
      <c r="F61" s="397"/>
      <c r="G61" s="397"/>
      <c r="H61" s="397"/>
      <c r="I61" s="397"/>
      <c r="J61" s="397"/>
      <c r="K61" s="397"/>
      <c r="L61" s="397"/>
      <c r="M61" s="397"/>
      <c r="O61" s="397"/>
      <c r="P61" s="397"/>
      <c r="Q61" s="397"/>
      <c r="R61" s="397"/>
    </row>
    <row r="62" spans="1:18" ht="12.9" customHeight="1">
      <c r="A62" s="397"/>
      <c r="B62" s="397"/>
      <c r="C62" s="397"/>
      <c r="D62" s="397"/>
      <c r="E62" s="397"/>
      <c r="F62" s="397"/>
      <c r="G62" s="397"/>
      <c r="H62" s="397"/>
      <c r="I62" s="397"/>
      <c r="J62" s="397"/>
      <c r="K62" s="397"/>
      <c r="L62" s="397"/>
      <c r="M62" s="397"/>
      <c r="O62" s="397"/>
      <c r="P62" s="397"/>
      <c r="Q62" s="397"/>
      <c r="R62" s="397"/>
    </row>
    <row r="63" spans="1:18" ht="12.9" customHeight="1">
      <c r="A63" s="397"/>
      <c r="B63" s="397"/>
      <c r="C63" s="397"/>
      <c r="D63" s="397"/>
      <c r="E63" s="397"/>
      <c r="F63" s="397"/>
      <c r="G63" s="397"/>
      <c r="H63" s="397"/>
      <c r="I63" s="397"/>
      <c r="J63" s="397"/>
      <c r="K63" s="397"/>
      <c r="L63" s="397"/>
      <c r="M63" s="397"/>
      <c r="O63" s="397"/>
      <c r="P63" s="397"/>
      <c r="Q63" s="397"/>
      <c r="R63" s="397"/>
    </row>
    <row r="64" spans="1:18" ht="12.9" customHeight="1">
      <c r="A64" s="397"/>
      <c r="B64" s="397"/>
      <c r="C64" s="397"/>
      <c r="D64" s="397"/>
      <c r="E64" s="397"/>
      <c r="F64" s="397"/>
      <c r="G64" s="397"/>
      <c r="H64" s="397"/>
      <c r="I64" s="397"/>
      <c r="J64" s="397"/>
      <c r="K64" s="397"/>
      <c r="L64" s="397"/>
      <c r="M64" s="397"/>
      <c r="O64" s="397"/>
      <c r="P64" s="397"/>
      <c r="Q64" s="397"/>
      <c r="R64" s="397"/>
    </row>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sheetData>
  <sheetProtection password="C3C4" sheet="1" objects="1" scenarios="1"/>
  <mergeCells count="14">
    <mergeCell ref="C51:I51"/>
    <mergeCell ref="C52:J52"/>
    <mergeCell ref="D4:F4"/>
    <mergeCell ref="E5:F5"/>
    <mergeCell ref="A7:L7"/>
    <mergeCell ref="B8:J8"/>
    <mergeCell ref="B43:E43"/>
    <mergeCell ref="C50:I50"/>
    <mergeCell ref="A1:C1"/>
    <mergeCell ref="K1:L1"/>
    <mergeCell ref="A2:B2"/>
    <mergeCell ref="K2:L2"/>
    <mergeCell ref="E3:F3"/>
    <mergeCell ref="K3:L3"/>
  </mergeCells>
  <conditionalFormatting sqref="G3">
    <cfRule type="containsText" dxfId="210" priority="20" stopIfTrue="1" operator="containsText" text="Not Ok">
      <formula>NOT(ISERROR(SEARCH("Not Ok",G3)))</formula>
    </cfRule>
    <cfRule type="containsText" dxfId="209" priority="21" stopIfTrue="1" operator="containsText" text="Not Ok">
      <formula>NOT(ISERROR(SEARCH("Not Ok",G3)))</formula>
    </cfRule>
  </conditionalFormatting>
  <conditionalFormatting sqref="G3">
    <cfRule type="containsText" dxfId="208" priority="19" stopIfTrue="1" operator="containsText" text="Not Ok">
      <formula>NOT(ISERROR(SEARCH("Not Ok",G3)))</formula>
    </cfRule>
  </conditionalFormatting>
  <conditionalFormatting sqref="N45:N47">
    <cfRule type="containsText" dxfId="207" priority="18" stopIfTrue="1" operator="containsText" text="Not Ok">
      <formula>NOT(ISERROR(SEARCH("Not Ok",N45)))</formula>
    </cfRule>
  </conditionalFormatting>
  <conditionalFormatting sqref="N43:N47">
    <cfRule type="containsText" dxfId="206" priority="17" operator="containsText" text="Not Ok">
      <formula>NOT(ISERROR(SEARCH("Not Ok",N43)))</formula>
    </cfRule>
  </conditionalFormatting>
  <conditionalFormatting sqref="M21">
    <cfRule type="containsText" dxfId="205" priority="16" operator="containsText" text="#">
      <formula>NOT(ISERROR(SEARCH("#",M21)))</formula>
    </cfRule>
  </conditionalFormatting>
  <conditionalFormatting sqref="B36:L36">
    <cfRule type="containsText" dxfId="204" priority="15" operator="containsText" text="Error">
      <formula>NOT(ISERROR(SEARCH("Error",B36)))</formula>
    </cfRule>
  </conditionalFormatting>
  <conditionalFormatting sqref="A36">
    <cfRule type="containsText" dxfId="203" priority="14" operator="containsText" text="Enter">
      <formula>NOT(ISERROR(SEARCH("Enter",A36)))</formula>
    </cfRule>
  </conditionalFormatting>
  <conditionalFormatting sqref="B50">
    <cfRule type="cellIs" dxfId="202" priority="13" stopIfTrue="1" operator="equal">
      <formula>"You cannot claim against this contract until all prior year program income has been expended."</formula>
    </cfRule>
  </conditionalFormatting>
  <conditionalFormatting sqref="C50">
    <cfRule type="containsText" dxfId="201" priority="12" operator="containsText" text="You">
      <formula>NOT(ISERROR(SEARCH("You",C50)))</formula>
    </cfRule>
  </conditionalFormatting>
  <conditionalFormatting sqref="M50">
    <cfRule type="containsText" dxfId="200" priority="11" operator="containsText" text="You">
      <formula>NOT(ISERROR(SEARCH("You",M50)))</formula>
    </cfRule>
  </conditionalFormatting>
  <conditionalFormatting sqref="C52">
    <cfRule type="containsText" dxfId="199" priority="10" operator="containsText" text="Double">
      <formula>NOT(ISERROR(SEARCH("Double",C52)))</formula>
    </cfRule>
  </conditionalFormatting>
  <conditionalFormatting sqref="M52">
    <cfRule type="containsText" dxfId="198" priority="9" operator="containsText" text="You">
      <formula>NOT(ISERROR(SEARCH("You",M52)))</formula>
    </cfRule>
  </conditionalFormatting>
  <conditionalFormatting sqref="N1">
    <cfRule type="containsText" dxfId="197" priority="8" operator="containsText" text="End">
      <formula>NOT(ISERROR(SEARCH("End",N1)))</formula>
    </cfRule>
  </conditionalFormatting>
  <conditionalFormatting sqref="N1">
    <cfRule type="containsText" dxfId="196" priority="7" operator="containsText" text="End">
      <formula>NOT(ISERROR(SEARCH("End",N1)))</formula>
    </cfRule>
  </conditionalFormatting>
  <conditionalFormatting sqref="N2">
    <cfRule type="containsText" dxfId="195" priority="6" operator="containsText" text="Please">
      <formula>NOT(ISERROR(SEARCH("Please",N2)))</formula>
    </cfRule>
  </conditionalFormatting>
  <conditionalFormatting sqref="A1">
    <cfRule type="containsText" dxfId="194" priority="5" operator="containsText" text="End">
      <formula>NOT(ISERROR(SEARCH("End",A1)))</formula>
    </cfRule>
  </conditionalFormatting>
  <conditionalFormatting sqref="A1">
    <cfRule type="containsText" dxfId="193" priority="4" operator="containsText" text="End">
      <formula>NOT(ISERROR(SEARCH("End",A1)))</formula>
    </cfRule>
  </conditionalFormatting>
  <conditionalFormatting sqref="A2:B2">
    <cfRule type="containsText" dxfId="192" priority="3" operator="containsText" text="Please">
      <formula>NOT(ISERROR(SEARCH("Please",A2)))</formula>
    </cfRule>
  </conditionalFormatting>
  <conditionalFormatting sqref="C51:I51">
    <cfRule type="containsText" dxfId="191" priority="2" operator="containsText" text="Not Ok">
      <formula>NOT(ISERROR(SEARCH("Not Ok",C51)))</formula>
    </cfRule>
  </conditionalFormatting>
  <conditionalFormatting sqref="M35">
    <cfRule type="containsText" dxfId="190" priority="1" operator="containsText" text="#">
      <formula>NOT(ISERROR(SEARCH("#",M35)))</formula>
    </cfRule>
  </conditionalFormatting>
  <dataValidations count="2">
    <dataValidation type="whole" allowBlank="1" showInputMessage="1" showErrorMessage="1" errorTitle="Whole Number Validation" error="You must enter all dollars as whole numbers - no decimals (cents) or spaces." sqref="B22:H22" xr:uid="{6F8FA367-3FEF-4EDA-ABE6-C81637C27F0C}">
      <formula1>0</formula1>
      <formula2>1000000</formula2>
    </dataValidation>
    <dataValidation type="whole" allowBlank="1" showInputMessage="1" showErrorMessage="1" errorTitle="Whole Number Validation" error="You must enter all dollars as whole numbers - no decimals (cents) or spaces." sqref="B21:H21" xr:uid="{381BDAD8-1704-47C5-811F-12EFD041CBA9}">
      <formula1>-100000000</formula1>
      <formula2>100000000</formula2>
    </dataValidation>
  </dataValidations>
  <printOptions horizontalCentered="1"/>
  <pageMargins left="0.25" right="0.25" top="0.25" bottom="0.5" header="0" footer="0"/>
  <pageSetup scale="73" orientation="landscape" horizontalDpi="300" verticalDpi="300" r:id="rId1"/>
  <headerFooter alignWithMargins="0">
    <oddFooter>&amp;R&amp;8&amp;Z&amp;F</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13"/>
    <pageSetUpPr fitToPage="1"/>
  </sheetPr>
  <dimension ref="A1:R54"/>
  <sheetViews>
    <sheetView showGridLines="0" topLeftCell="A4" workbookViewId="0">
      <selection activeCell="E19" sqref="E19"/>
    </sheetView>
  </sheetViews>
  <sheetFormatPr defaultRowHeight="15" customHeight="1"/>
  <cols>
    <col min="1" max="1" width="31.6640625" customWidth="1"/>
    <col min="2" max="12" width="12.6640625" customWidth="1"/>
    <col min="13" max="13" width="15.6640625" customWidth="1"/>
    <col min="14" max="14" width="9.109375" style="15"/>
  </cols>
  <sheetData>
    <row r="1" spans="1:14" s="15" customFormat="1" ht="15" customHeight="1">
      <c r="A1" s="601" t="str">
        <f>IF(N1="x","End of Year approaching, please address errors listed below.","")</f>
        <v/>
      </c>
      <c r="B1" s="601"/>
      <c r="C1" s="601"/>
      <c r="K1" s="604" t="s">
        <v>1330</v>
      </c>
      <c r="L1" s="572"/>
      <c r="M1" s="397"/>
      <c r="N1" s="167" t="str">
        <f>IF(AND(G5="x",OR(M43="x",M44="x",M45="x",M46="x",M47="x",M50="x",M51="x",M52="x")),"x","")</f>
        <v/>
      </c>
    </row>
    <row r="2" spans="1:14" s="15" customFormat="1" ht="15" customHeight="1">
      <c r="A2" s="601" t="str">
        <f>IF(N2="x","Please address the errors listed below.","")</f>
        <v/>
      </c>
      <c r="B2" s="574"/>
      <c r="F2" s="156" t="s">
        <v>1121</v>
      </c>
      <c r="K2" s="603" t="s">
        <v>1331</v>
      </c>
      <c r="L2" s="572"/>
      <c r="M2" s="397"/>
      <c r="N2" s="167" t="str">
        <f>IF(G5="x","",IF(OR(M50="x",M51="x",M43="x"),"x",""))</f>
        <v/>
      </c>
    </row>
    <row r="3" spans="1:14" s="15" customFormat="1" ht="15" customHeight="1">
      <c r="A3" s="17" t="s">
        <v>1123</v>
      </c>
      <c r="E3" s="608" t="str">
        <f>CAUTAU!A99</f>
        <v>Menominee Tribe</v>
      </c>
      <c r="F3" s="608"/>
      <c r="G3" s="167" t="str">
        <f>LOOKUP(E3,Allocations!A4:A92,Allocations!B4:B92)</f>
        <v>X</v>
      </c>
      <c r="K3" s="616" t="s">
        <v>1332</v>
      </c>
      <c r="L3" s="617"/>
      <c r="N3" s="62"/>
    </row>
    <row r="4" spans="1:14" s="15" customFormat="1" ht="15" customHeight="1">
      <c r="A4" s="17" t="s">
        <v>1125</v>
      </c>
      <c r="D4" s="608" t="e">
        <f>LOOKUP(E5,Date,'Addl Info'!H21:H33)</f>
        <v>#N/A</v>
      </c>
      <c r="E4" s="609"/>
      <c r="F4" s="609"/>
      <c r="G4" s="62"/>
    </row>
    <row r="5" spans="1:14" s="15" customFormat="1" ht="15" customHeight="1">
      <c r="A5" s="17" t="s">
        <v>1126</v>
      </c>
      <c r="E5" s="608" t="str">
        <f>CAUTAU!A100</f>
        <v/>
      </c>
      <c r="F5" s="608"/>
      <c r="G5" s="62" t="str">
        <f>IF(OR(E5="January 2018",E5="February 2018",E5="March 2018",E5="Final Submission 2018"),"x","")</f>
        <v/>
      </c>
    </row>
    <row r="6" spans="1:14" s="15" customFormat="1" ht="15" customHeight="1">
      <c r="A6" s="17" t="s">
        <v>1127</v>
      </c>
      <c r="F6" s="152" t="e">
        <f>IF(D4="Non-Submission Period",0,LOOKUP(E3,CAUTAU,Allocations!Q4:Q92))</f>
        <v>#N/A</v>
      </c>
    </row>
    <row r="7" spans="1:14" ht="15" customHeight="1">
      <c r="A7" s="606"/>
      <c r="B7" s="607"/>
      <c r="C7" s="607"/>
      <c r="D7" s="607"/>
      <c r="E7" s="607"/>
      <c r="F7" s="607"/>
      <c r="G7" s="607"/>
      <c r="H7" s="607"/>
      <c r="I7" s="607"/>
      <c r="J7" s="607"/>
      <c r="K7" s="607"/>
      <c r="L7" s="607"/>
      <c r="M7" s="397"/>
    </row>
    <row r="8" spans="1:14" s="2" customFormat="1" ht="15" customHeight="1" thickBot="1">
      <c r="A8" s="1"/>
      <c r="B8" s="641" t="s">
        <v>1333</v>
      </c>
      <c r="C8" s="573"/>
      <c r="D8" s="573"/>
      <c r="E8" s="574"/>
      <c r="F8" s="574"/>
      <c r="G8" s="574"/>
      <c r="H8" s="574"/>
      <c r="I8" s="574"/>
      <c r="J8" s="574"/>
    </row>
    <row r="9" spans="1:14" ht="77.099999999999994" customHeight="1">
      <c r="A9" s="187" t="s">
        <v>1128</v>
      </c>
      <c r="B9" s="179" t="s">
        <v>1300</v>
      </c>
      <c r="C9" s="202"/>
      <c r="D9" s="179" t="s">
        <v>1131</v>
      </c>
      <c r="E9" s="179" t="s">
        <v>1132</v>
      </c>
      <c r="F9" s="189" t="s">
        <v>355</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23"/>
      <c r="D21" s="323"/>
      <c r="E21" s="323"/>
      <c r="F21" s="306"/>
      <c r="G21" s="323"/>
      <c r="H21" s="323"/>
      <c r="I21" s="323"/>
      <c r="J21" s="323"/>
      <c r="K21" s="323"/>
      <c r="L21" s="324"/>
      <c r="M21" s="308">
        <f>C21+D21+E21+F21+G21+H21+I21+J21+K21+L21-K21-I21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B10+B11+B12+B13+B14+B15+B16+B17+B18+B19+B20+B21+B22+B23+B24+B25+B26+B27+B28+B29+B30</f>
        <v>0</v>
      </c>
      <c r="C35" s="316">
        <f t="shared" ref="C35:L35" si="0">C10+C11+C12+C13+C14+C15+C16+C17+C18+C19+C20+C21+C22+C23+C24+C25+C26+C27+C28+C29+C30</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17">
        <f>C35+D35+E35+F35+G35+H35+I35+J35+K35+L35-I35-K35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397"/>
      <c r="B38" s="12"/>
      <c r="C38" s="12"/>
      <c r="D38" s="12"/>
      <c r="E38" s="12"/>
      <c r="F38" s="12"/>
      <c r="G38" s="12"/>
      <c r="H38" s="12"/>
      <c r="I38" s="12"/>
      <c r="J38" s="12"/>
      <c r="K38" s="12"/>
      <c r="L38" s="12"/>
      <c r="M38" s="62"/>
    </row>
    <row r="39" spans="1:14" ht="12.9" customHeight="1">
      <c r="A39" s="397"/>
      <c r="B39" s="12"/>
      <c r="C39" s="12"/>
      <c r="D39" s="12"/>
      <c r="E39" s="12"/>
      <c r="F39" s="12"/>
      <c r="G39" s="12"/>
      <c r="H39" s="12"/>
      <c r="I39" s="12"/>
      <c r="J39" s="12"/>
      <c r="K39" s="12"/>
      <c r="L39" s="12"/>
      <c r="M39" s="62"/>
    </row>
    <row r="40" spans="1:14" ht="12.9" customHeight="1">
      <c r="A40" s="397"/>
      <c r="B40" s="12"/>
      <c r="C40" s="12"/>
      <c r="D40" s="12"/>
      <c r="E40" s="12"/>
      <c r="F40" s="12"/>
      <c r="G40" s="12"/>
      <c r="H40" s="12"/>
      <c r="I40" s="12"/>
      <c r="J40" s="12"/>
      <c r="K40" s="12"/>
      <c r="L40" s="12"/>
      <c r="M40" s="62"/>
    </row>
    <row r="41" spans="1:14" ht="12.9" customHeight="1">
      <c r="A41" s="397"/>
      <c r="B41" s="12"/>
      <c r="C41" s="12"/>
      <c r="D41" s="12"/>
      <c r="E41" s="12"/>
      <c r="F41" s="12"/>
      <c r="G41" s="12"/>
      <c r="H41" s="12"/>
      <c r="I41" s="12"/>
      <c r="J41" s="12"/>
      <c r="K41" s="12"/>
      <c r="L41" s="12"/>
      <c r="M41" s="62"/>
    </row>
    <row r="42" spans="1:14" ht="12.9" customHeight="1">
      <c r="A42" s="397"/>
      <c r="B42" s="12"/>
      <c r="C42" s="12"/>
      <c r="D42" s="12"/>
      <c r="E42" s="12"/>
      <c r="F42" s="12"/>
      <c r="G42" s="12"/>
      <c r="H42" s="12"/>
      <c r="I42" s="12"/>
      <c r="J42" s="12"/>
      <c r="K42" s="12"/>
      <c r="L42" s="12"/>
      <c r="M42" s="168"/>
    </row>
    <row r="43" spans="1:14" ht="12.9" customHeight="1">
      <c r="A43" s="15" t="s">
        <v>1161</v>
      </c>
      <c r="B43" s="147" t="e">
        <f>(F6-F35)</f>
        <v>#N/A</v>
      </c>
      <c r="C43" s="610" t="e">
        <f>IF(F6-F35&lt;0,"Not Ok - You are over budget on expenditures.","")</f>
        <v>#N/A</v>
      </c>
      <c r="D43" s="611"/>
      <c r="E43" s="611"/>
      <c r="F43" s="574"/>
      <c r="G43" s="15"/>
      <c r="H43" s="15"/>
      <c r="I43" s="15"/>
      <c r="J43" s="15"/>
      <c r="K43" s="15"/>
      <c r="L43" s="15"/>
      <c r="M43" s="367" t="str">
        <f>IF(ISNUMBER(SEARCH("Not Ok",C43)), "X", "")</f>
        <v/>
      </c>
      <c r="N43" s="166"/>
    </row>
    <row r="44" spans="1:14" ht="12.9" customHeight="1">
      <c r="A44" s="15"/>
      <c r="B44" s="159"/>
      <c r="C44" s="601"/>
      <c r="D44" s="601"/>
      <c r="E44" s="601"/>
      <c r="F44" s="601"/>
      <c r="G44" s="601"/>
      <c r="H44" s="601"/>
      <c r="I44" s="601"/>
      <c r="J44" s="601"/>
      <c r="K44" s="601"/>
      <c r="L44" s="601"/>
      <c r="M44" s="367" t="str">
        <f t="shared" ref="M44:M53" si="1">IF(ISNUMBER(SEARCH("Not Ok",C44)), "X", "")</f>
        <v/>
      </c>
      <c r="N44" s="17"/>
    </row>
    <row r="45" spans="1:14" ht="12.9" customHeight="1">
      <c r="A45" s="15"/>
      <c r="B45" s="159"/>
      <c r="C45" s="601"/>
      <c r="D45" s="602"/>
      <c r="E45" s="602"/>
      <c r="F45" s="602"/>
      <c r="G45" s="602"/>
      <c r="H45" s="602"/>
      <c r="I45" s="602"/>
      <c r="J45" s="15"/>
      <c r="K45" s="15"/>
      <c r="L45" s="15"/>
      <c r="M45" s="367" t="str">
        <f t="shared" si="1"/>
        <v/>
      </c>
    </row>
    <row r="46" spans="1:14" ht="12.9" customHeight="1">
      <c r="A46" s="15"/>
      <c r="B46" s="159"/>
      <c r="C46" s="601"/>
      <c r="D46" s="601"/>
      <c r="E46" s="601"/>
      <c r="F46" s="601"/>
      <c r="G46" s="601"/>
      <c r="H46" s="601"/>
      <c r="I46" s="601"/>
      <c r="J46" s="601"/>
      <c r="K46" s="601"/>
      <c r="L46" s="601"/>
      <c r="M46" s="367" t="str">
        <f t="shared" si="1"/>
        <v/>
      </c>
      <c r="N46" s="17"/>
    </row>
    <row r="47" spans="1:14" ht="12.9" customHeight="1">
      <c r="A47" s="15"/>
      <c r="B47" s="147"/>
      <c r="C47" s="601"/>
      <c r="D47" s="602"/>
      <c r="E47" s="602"/>
      <c r="F47" s="602"/>
      <c r="G47" s="602"/>
      <c r="H47" s="602"/>
      <c r="I47" s="602"/>
      <c r="J47" s="15"/>
      <c r="K47" s="15"/>
      <c r="L47" s="15"/>
      <c r="M47" s="367" t="str">
        <f t="shared" si="1"/>
        <v/>
      </c>
    </row>
    <row r="48" spans="1:14" ht="12.9" customHeight="1">
      <c r="A48" s="15"/>
      <c r="B48" s="217"/>
      <c r="C48" s="15"/>
      <c r="D48" s="15"/>
      <c r="E48" s="15"/>
      <c r="F48" s="15"/>
      <c r="G48" s="15"/>
      <c r="H48" s="15"/>
      <c r="I48" s="15"/>
      <c r="J48" s="15"/>
      <c r="K48" s="15"/>
      <c r="L48" s="15"/>
      <c r="M48" s="367" t="str">
        <f t="shared" si="1"/>
        <v/>
      </c>
    </row>
    <row r="49" spans="1:18" ht="12.9" customHeight="1">
      <c r="A49" s="15"/>
      <c r="B49" s="147"/>
      <c r="C49" s="15"/>
      <c r="D49" s="15"/>
      <c r="E49" s="15"/>
      <c r="F49" s="15"/>
      <c r="G49" s="15"/>
      <c r="H49" s="15"/>
      <c r="I49" s="15"/>
      <c r="J49" s="15"/>
      <c r="K49" s="15"/>
      <c r="L49" s="15"/>
      <c r="M49" s="367" t="str">
        <f t="shared" si="1"/>
        <v/>
      </c>
      <c r="O49" s="397"/>
      <c r="P49" s="397"/>
      <c r="Q49" s="397"/>
      <c r="R49" s="397"/>
    </row>
    <row r="50" spans="1:18" s="15" customFormat="1" ht="12.9" customHeight="1">
      <c r="B50" s="227"/>
      <c r="C50" s="600"/>
      <c r="D50" s="574"/>
      <c r="E50" s="574"/>
      <c r="F50" s="574"/>
      <c r="G50" s="574"/>
      <c r="H50" s="574"/>
      <c r="I50" s="574"/>
      <c r="M50" s="367" t="str">
        <f t="shared" si="1"/>
        <v/>
      </c>
      <c r="N50" s="146"/>
      <c r="O50" s="146"/>
      <c r="P50" s="146"/>
      <c r="Q50" s="146"/>
      <c r="R50" s="146"/>
    </row>
    <row r="51" spans="1:18" s="15" customFormat="1" ht="12.9" customHeight="1">
      <c r="A51" s="15" t="e">
        <f>IF(B51="x","Non-Submission Period","")</f>
        <v>#N/A</v>
      </c>
      <c r="B51" s="227" t="e">
        <f>IF(AND(F35&gt;0,D4="Non-Submission Period"),"X","")</f>
        <v>#N/A</v>
      </c>
      <c r="C51" s="600" t="e">
        <f>IF(B51="x","Not Ok - You cannot claim against this contract as this is a Non-Submission Period for the contract.","")</f>
        <v>#N/A</v>
      </c>
      <c r="D51" s="574"/>
      <c r="E51" s="574"/>
      <c r="F51" s="574"/>
      <c r="G51" s="574"/>
      <c r="H51" s="574"/>
      <c r="I51" s="574"/>
      <c r="M51" s="367" t="str">
        <f t="shared" si="1"/>
        <v/>
      </c>
    </row>
    <row r="52" spans="1:18" ht="12.9" customHeight="1">
      <c r="A52" s="15"/>
      <c r="B52" s="15"/>
      <c r="C52" s="15"/>
      <c r="D52" s="15"/>
      <c r="E52" s="15"/>
      <c r="F52" s="15"/>
      <c r="G52" s="15"/>
      <c r="H52" s="15"/>
      <c r="I52" s="15"/>
      <c r="J52" s="15"/>
      <c r="K52" s="15"/>
      <c r="L52" s="15"/>
      <c r="M52" s="367" t="str">
        <f t="shared" si="1"/>
        <v/>
      </c>
      <c r="O52" s="397"/>
      <c r="P52" s="397"/>
      <c r="Q52" s="397"/>
      <c r="R52" s="397"/>
    </row>
    <row r="53" spans="1:18" ht="12.9" customHeight="1">
      <c r="A53" s="397"/>
      <c r="B53" s="397"/>
      <c r="C53" s="397"/>
      <c r="D53" s="397"/>
      <c r="E53" s="397"/>
      <c r="F53" s="397"/>
      <c r="G53" s="397"/>
      <c r="H53" s="397"/>
      <c r="I53" s="397"/>
      <c r="J53" s="397"/>
      <c r="K53" s="397"/>
      <c r="L53" s="397"/>
      <c r="M53" s="367" t="str">
        <f t="shared" si="1"/>
        <v/>
      </c>
      <c r="O53" s="397"/>
      <c r="P53" s="397"/>
      <c r="Q53" s="397"/>
      <c r="R53" s="397"/>
    </row>
    <row r="54" spans="1:18" ht="12.9" customHeight="1">
      <c r="A54" s="397"/>
      <c r="B54" s="397"/>
      <c r="C54" s="397"/>
      <c r="D54" s="397"/>
      <c r="E54" s="397"/>
      <c r="F54" s="397"/>
      <c r="G54" s="397"/>
      <c r="H54" s="397"/>
      <c r="I54" s="397"/>
      <c r="J54" s="397"/>
      <c r="K54" s="397"/>
      <c r="L54" s="397"/>
      <c r="M54" s="397"/>
      <c r="O54" s="397"/>
      <c r="P54" s="397"/>
      <c r="Q54" s="397"/>
      <c r="R54" s="397"/>
    </row>
  </sheetData>
  <sheetProtection password="C3C4" sheet="1" objects="1" scenarios="1"/>
  <customSheetViews>
    <customSheetView guid="{89953FCB-456A-4C2D-8912-B30825F750D3}" fitToPage="1">
      <selection activeCell="A10" sqref="A10:L10"/>
      <pageMargins left="0" right="0" top="0" bottom="0" header="0" footer="0"/>
      <printOptions horizontalCentered="1"/>
      <pageSetup scale="82" orientation="landscape" horizontalDpi="300" verticalDpi="300" r:id="rId1"/>
      <headerFooter alignWithMargins="0">
        <oddFooter>&amp;R&amp;8&amp;Z&amp;F</oddFooter>
      </headerFooter>
    </customSheetView>
  </customSheetViews>
  <mergeCells count="17">
    <mergeCell ref="C44:L44"/>
    <mergeCell ref="K3:L3"/>
    <mergeCell ref="A1:C1"/>
    <mergeCell ref="A2:B2"/>
    <mergeCell ref="C43:F43"/>
    <mergeCell ref="B8:J8"/>
    <mergeCell ref="A7:L7"/>
    <mergeCell ref="E5:F5"/>
    <mergeCell ref="K1:L1"/>
    <mergeCell ref="K2:L2"/>
    <mergeCell ref="E3:F3"/>
    <mergeCell ref="D4:F4"/>
    <mergeCell ref="C45:I45"/>
    <mergeCell ref="C46:L46"/>
    <mergeCell ref="C47:I47"/>
    <mergeCell ref="C50:I50"/>
    <mergeCell ref="C51:I51"/>
  </mergeCells>
  <phoneticPr fontId="4" type="noConversion"/>
  <conditionalFormatting sqref="G3">
    <cfRule type="containsText" dxfId="189" priority="61" stopIfTrue="1" operator="containsText" text="Not Ok">
      <formula>NOT(ISERROR(SEARCH("Not Ok",G3)))</formula>
    </cfRule>
    <cfRule type="containsText" dxfId="188" priority="62" stopIfTrue="1" operator="containsText" text="Not Ok">
      <formula>NOT(ISERROR(SEARCH("Not Ok",G3)))</formula>
    </cfRule>
  </conditionalFormatting>
  <conditionalFormatting sqref="G3">
    <cfRule type="containsText" dxfId="187" priority="60" stopIfTrue="1" operator="containsText" text="Not Ok">
      <formula>NOT(ISERROR(SEARCH("Not Ok",G3)))</formula>
    </cfRule>
  </conditionalFormatting>
  <conditionalFormatting sqref="C45:H47 I47 C44">
    <cfRule type="containsText" dxfId="186" priority="47" stopIfTrue="1" operator="containsText" text="Not Ok">
      <formula>NOT(ISERROR(SEARCH("Not Ok",C44)))</formula>
    </cfRule>
  </conditionalFormatting>
  <conditionalFormatting sqref="B38:B41">
    <cfRule type="cellIs" dxfId="185" priority="55" stopIfTrue="1" operator="equal">
      <formula>"You cannot claim against this contract until all prior year program income has been expended."</formula>
    </cfRule>
  </conditionalFormatting>
  <conditionalFormatting sqref="M42">
    <cfRule type="cellIs" dxfId="184" priority="54" stopIfTrue="1" operator="equal">
      <formula>"You are over budget on expenditures."</formula>
    </cfRule>
  </conditionalFormatting>
  <conditionalFormatting sqref="M42">
    <cfRule type="containsText" dxfId="183" priority="53" operator="containsText" text="Not Ok">
      <formula>NOT(ISERROR(SEARCH("Not Ok",M42)))</formula>
    </cfRule>
  </conditionalFormatting>
  <conditionalFormatting sqref="C44">
    <cfRule type="containsText" dxfId="182" priority="50" stopIfTrue="1" operator="containsText" text="Not Ok">
      <formula>NOT(ISERROR(SEARCH("Not Ok",C44)))</formula>
    </cfRule>
  </conditionalFormatting>
  <conditionalFormatting sqref="C44:C47">
    <cfRule type="containsText" dxfId="181" priority="48" stopIfTrue="1" operator="containsText" text="Not Ok">
      <formula>NOT(ISERROR(SEARCH("Not Ok",C44)))</formula>
    </cfRule>
    <cfRule type="containsText" dxfId="180" priority="49" stopIfTrue="1" operator="containsText" text="Not Ok">
      <formula>NOT(ISERROR(SEARCH("Not Ok",C44)))</formula>
    </cfRule>
  </conditionalFormatting>
  <conditionalFormatting sqref="C43">
    <cfRule type="cellIs" dxfId="179" priority="46" stopIfTrue="1" operator="equal">
      <formula>"You are over budget on expenditures."</formula>
    </cfRule>
  </conditionalFormatting>
  <conditionalFormatting sqref="C44:L47 C43:E43 G43:L43">
    <cfRule type="containsText" dxfId="178" priority="44" operator="containsText" text="Not Ok">
      <formula>NOT(ISERROR(SEARCH("Not Ok",C43)))</formula>
    </cfRule>
  </conditionalFormatting>
  <conditionalFormatting sqref="N45:N47">
    <cfRule type="containsText" dxfId="177" priority="28" stopIfTrue="1" operator="containsText" text="Not Ok">
      <formula>NOT(ISERROR(SEARCH("Not Ok",N45)))</formula>
    </cfRule>
  </conditionalFormatting>
  <conditionalFormatting sqref="N43:N47">
    <cfRule type="containsText" dxfId="176" priority="27" operator="containsText" text="Not Ok">
      <formula>NOT(ISERROR(SEARCH("Not Ok",N43)))</formula>
    </cfRule>
  </conditionalFormatting>
  <conditionalFormatting sqref="M21">
    <cfRule type="containsText" dxfId="175" priority="14" operator="containsText" text="#">
      <formula>NOT(ISERROR(SEARCH("#",M21)))</formula>
    </cfRule>
  </conditionalFormatting>
  <conditionalFormatting sqref="B36:L36">
    <cfRule type="containsText" dxfId="174" priority="13" operator="containsText" text="Error">
      <formula>NOT(ISERROR(SEARCH("Error",B36)))</formula>
    </cfRule>
  </conditionalFormatting>
  <conditionalFormatting sqref="A36">
    <cfRule type="containsText" dxfId="173" priority="12" operator="containsText" text="Enter">
      <formula>NOT(ISERROR(SEARCH("Enter",A36)))</formula>
    </cfRule>
  </conditionalFormatting>
  <conditionalFormatting sqref="B50">
    <cfRule type="cellIs" dxfId="172" priority="11" stopIfTrue="1" operator="equal">
      <formula>"You cannot claim against this contract until all prior year program income has been expended."</formula>
    </cfRule>
  </conditionalFormatting>
  <conditionalFormatting sqref="C50:C51">
    <cfRule type="containsText" dxfId="171" priority="10" operator="containsText" text="You">
      <formula>NOT(ISERROR(SEARCH("You",C50)))</formula>
    </cfRule>
  </conditionalFormatting>
  <conditionalFormatting sqref="N1">
    <cfRule type="containsText" dxfId="170" priority="6" operator="containsText" text="End">
      <formula>NOT(ISERROR(SEARCH("End",N1)))</formula>
    </cfRule>
  </conditionalFormatting>
  <conditionalFormatting sqref="N1">
    <cfRule type="containsText" dxfId="169" priority="5" operator="containsText" text="End">
      <formula>NOT(ISERROR(SEARCH("End",N1)))</formula>
    </cfRule>
  </conditionalFormatting>
  <conditionalFormatting sqref="N2">
    <cfRule type="containsText" dxfId="168" priority="4" operator="containsText" text="Please">
      <formula>NOT(ISERROR(SEARCH("Please",N2)))</formula>
    </cfRule>
  </conditionalFormatting>
  <conditionalFormatting sqref="A1">
    <cfRule type="containsText" dxfId="167" priority="3" operator="containsText" text="End">
      <formula>NOT(ISERROR(SEARCH("End",A1)))</formula>
    </cfRule>
  </conditionalFormatting>
  <conditionalFormatting sqref="A1">
    <cfRule type="containsText" dxfId="166" priority="2" operator="containsText" text="End">
      <formula>NOT(ISERROR(SEARCH("End",A1)))</formula>
    </cfRule>
  </conditionalFormatting>
  <conditionalFormatting sqref="A2:B2">
    <cfRule type="containsText" dxfId="165" priority="1" operator="containsText" text="Please">
      <formula>NOT(ISERROR(SEARCH("Please",A2)))</formula>
    </cfRule>
  </conditionalFormatting>
  <dataValidations count="1">
    <dataValidation type="whole" allowBlank="1" showInputMessage="1" showErrorMessage="1" errorTitle="Whole Number Validation" error="You must enter all dollars as whole numbers - no decimals (cents) or spaces." sqref="B21:F21" xr:uid="{D59F8C43-8A59-44B0-9E61-6C5F9CDBD840}">
      <formula1>-1000000</formula1>
      <formula2>1000000</formula2>
    </dataValidation>
  </dataValidations>
  <printOptions horizontalCentered="1"/>
  <pageMargins left="0.25" right="0.25" top="0.25" bottom="0.5" header="0" footer="0"/>
  <pageSetup scale="73" orientation="landscape" horizontalDpi="300" verticalDpi="300" r:id="rId2"/>
  <headerFooter alignWithMargins="0">
    <oddFooter>&amp;R&amp;8&amp;Z&amp;F</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R159"/>
  <sheetViews>
    <sheetView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31.6640625" customWidth="1"/>
    <col min="2" max="12" width="12.6640625" customWidth="1"/>
    <col min="13" max="13" width="15.6640625" customWidth="1"/>
    <col min="14" max="14" width="9.109375" style="15"/>
  </cols>
  <sheetData>
    <row r="1" spans="1:14" s="15" customFormat="1" ht="15" customHeight="1">
      <c r="A1" s="601" t="str">
        <f>IF(AND(G5="x",OR(M43="x",M44="x",M45="x",M46="x",M47="x",M50="x",M51="x",M36="x",M52="x")),"End of Year approaching, please address errors listed below.","")</f>
        <v/>
      </c>
      <c r="B1" s="601"/>
      <c r="C1" s="601"/>
      <c r="K1" s="604" t="s">
        <v>1330</v>
      </c>
      <c r="L1" s="572"/>
      <c r="M1" s="397"/>
      <c r="N1" s="167" t="str">
        <f>IF(AND(G5="x",OR(M43="x",M44="x",M45="x",M46="x",M47="x",M50="x",M51="x",M52="x")),"x","")</f>
        <v/>
      </c>
    </row>
    <row r="2" spans="1:14" s="15" customFormat="1" ht="15" customHeight="1">
      <c r="A2" s="601" t="str">
        <f>IF(G5="x","",IF(OR(M50="x",M51="x",M36="x",M43="x",M52="x"),"Please address the errors listed below.",""))</f>
        <v/>
      </c>
      <c r="B2" s="574"/>
      <c r="F2" s="156" t="s">
        <v>1121</v>
      </c>
      <c r="K2" s="603" t="s">
        <v>1331</v>
      </c>
      <c r="L2" s="572"/>
      <c r="M2" s="397"/>
      <c r="N2" s="167" t="str">
        <f>IF(G5="x","",IF(OR(M50="x",M51="x",M43="x"),"x",""))</f>
        <v/>
      </c>
    </row>
    <row r="3" spans="1:14" s="15" customFormat="1" ht="15" customHeight="1">
      <c r="A3" s="17" t="s">
        <v>1123</v>
      </c>
      <c r="E3" s="608" t="str">
        <f>CAUTAU!A99</f>
        <v>Menominee Tribe</v>
      </c>
      <c r="F3" s="608"/>
      <c r="G3" s="167" t="str">
        <f>LOOKUP(E3,Allocations!A4:A92,Allocations!B4:B92)</f>
        <v>X</v>
      </c>
      <c r="K3" s="616" t="s">
        <v>1332</v>
      </c>
      <c r="L3" s="617"/>
      <c r="N3" s="62"/>
    </row>
    <row r="4" spans="1:14" s="15" customFormat="1" ht="15" customHeight="1">
      <c r="A4" s="17" t="s">
        <v>1125</v>
      </c>
      <c r="D4" s="608" t="e">
        <f>LOOKUP(E5,Date,'Addl Info'!G21:G33)</f>
        <v>#N/A</v>
      </c>
      <c r="E4" s="609"/>
      <c r="F4" s="609"/>
      <c r="G4" s="62"/>
    </row>
    <row r="5" spans="1:14" s="15" customFormat="1" ht="15" customHeight="1">
      <c r="A5" s="17" t="s">
        <v>1126</v>
      </c>
      <c r="E5" s="608" t="str">
        <f>CAUTAU!A100</f>
        <v/>
      </c>
      <c r="F5" s="608"/>
      <c r="G5" s="62" t="str">
        <f>IF(OR(E5="January 2019",E5="February 2019",E5="March 2019",E5="Final Submission 2019"),"x","")</f>
        <v/>
      </c>
    </row>
    <row r="6" spans="1:14" s="15" customFormat="1" ht="15" customHeight="1">
      <c r="A6" s="17" t="s">
        <v>1127</v>
      </c>
      <c r="F6" s="152" t="e">
        <f>IF(D4="Non-Submission Period",0,LOOKUP(E3,CAUTAU,Allocations!R4:R92))</f>
        <v>#N/A</v>
      </c>
    </row>
    <row r="7" spans="1:14" ht="15" customHeight="1">
      <c r="A7" s="606"/>
      <c r="B7" s="607"/>
      <c r="C7" s="607"/>
      <c r="D7" s="607"/>
      <c r="E7" s="607"/>
      <c r="F7" s="607"/>
      <c r="G7" s="607"/>
      <c r="H7" s="607"/>
      <c r="I7" s="607"/>
      <c r="J7" s="607"/>
      <c r="K7" s="607"/>
      <c r="L7" s="607"/>
      <c r="M7" s="397"/>
    </row>
    <row r="8" spans="1:14" s="2" customFormat="1" ht="15" customHeight="1" thickBot="1">
      <c r="A8" s="1"/>
      <c r="B8" s="641" t="s">
        <v>1334</v>
      </c>
      <c r="C8" s="573"/>
      <c r="D8" s="573"/>
      <c r="E8" s="574"/>
      <c r="F8" s="574"/>
      <c r="G8" s="574"/>
      <c r="H8" s="574"/>
      <c r="I8" s="574"/>
      <c r="J8" s="574"/>
    </row>
    <row r="9" spans="1:14" ht="77.099999999999994" customHeight="1">
      <c r="A9" s="187" t="s">
        <v>1128</v>
      </c>
      <c r="B9" s="188" t="s">
        <v>1335</v>
      </c>
      <c r="C9" s="189" t="s">
        <v>355</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8"/>
      <c r="C10" s="8"/>
      <c r="D10" s="8"/>
      <c r="E10" s="8"/>
      <c r="F10" s="8"/>
      <c r="G10" s="8"/>
      <c r="H10" s="8"/>
      <c r="I10" s="8"/>
      <c r="J10" s="8"/>
      <c r="K10" s="8"/>
      <c r="L10" s="195"/>
      <c r="M10" s="155"/>
      <c r="N10" s="225"/>
    </row>
    <row r="11" spans="1:14" ht="12.9" customHeight="1">
      <c r="A11" s="181" t="s">
        <v>1139</v>
      </c>
      <c r="B11" s="8"/>
      <c r="C11" s="8"/>
      <c r="D11" s="8"/>
      <c r="E11" s="8"/>
      <c r="F11" s="8"/>
      <c r="G11" s="8"/>
      <c r="H11" s="8"/>
      <c r="I11" s="8"/>
      <c r="J11" s="8"/>
      <c r="K11" s="8"/>
      <c r="L11" s="195"/>
      <c r="M11" s="155"/>
      <c r="N11" s="225"/>
    </row>
    <row r="12" spans="1:14" ht="12.9" customHeight="1">
      <c r="A12" s="181" t="s">
        <v>1140</v>
      </c>
      <c r="B12" s="8"/>
      <c r="C12" s="8"/>
      <c r="D12" s="8"/>
      <c r="E12" s="8"/>
      <c r="F12" s="8"/>
      <c r="G12" s="8"/>
      <c r="H12" s="8"/>
      <c r="I12" s="8"/>
      <c r="J12" s="8"/>
      <c r="K12" s="8"/>
      <c r="L12" s="195"/>
      <c r="M12" s="155"/>
      <c r="N12" s="225"/>
    </row>
    <row r="13" spans="1:14" ht="12.9" customHeight="1">
      <c r="A13" s="181" t="s">
        <v>1141</v>
      </c>
      <c r="B13" s="8"/>
      <c r="C13" s="8"/>
      <c r="D13" s="8"/>
      <c r="E13" s="8"/>
      <c r="F13" s="8"/>
      <c r="G13" s="8"/>
      <c r="H13" s="8"/>
      <c r="I13" s="8"/>
      <c r="J13" s="8"/>
      <c r="K13" s="8"/>
      <c r="L13" s="195"/>
      <c r="M13" s="155"/>
      <c r="N13" s="225"/>
    </row>
    <row r="14" spans="1:14" ht="12.9" customHeight="1">
      <c r="A14" s="181" t="s">
        <v>1142</v>
      </c>
      <c r="B14" s="8"/>
      <c r="C14" s="8"/>
      <c r="D14" s="8"/>
      <c r="E14" s="8"/>
      <c r="F14" s="8"/>
      <c r="G14" s="8"/>
      <c r="H14" s="8"/>
      <c r="I14" s="8"/>
      <c r="J14" s="8"/>
      <c r="K14" s="8"/>
      <c r="L14" s="195"/>
      <c r="M14" s="155"/>
      <c r="N14" s="225"/>
    </row>
    <row r="15" spans="1:14" ht="12.9" customHeight="1">
      <c r="A15" s="181" t="s">
        <v>1143</v>
      </c>
      <c r="B15" s="8"/>
      <c r="C15" s="8"/>
      <c r="D15" s="8"/>
      <c r="E15" s="8"/>
      <c r="F15" s="8"/>
      <c r="G15" s="8"/>
      <c r="H15" s="8"/>
      <c r="I15" s="8"/>
      <c r="J15" s="8"/>
      <c r="K15" s="8"/>
      <c r="L15" s="195"/>
      <c r="M15" s="155"/>
      <c r="N15" s="225"/>
    </row>
    <row r="16" spans="1:14" ht="12.9" customHeight="1">
      <c r="A16" s="181" t="s">
        <v>1144</v>
      </c>
      <c r="B16" s="8"/>
      <c r="C16" s="8"/>
      <c r="D16" s="8"/>
      <c r="E16" s="8"/>
      <c r="F16" s="8"/>
      <c r="G16" s="8"/>
      <c r="H16" s="8"/>
      <c r="I16" s="8"/>
      <c r="J16" s="8"/>
      <c r="K16" s="8"/>
      <c r="L16" s="195"/>
      <c r="M16" s="155"/>
      <c r="N16" s="225"/>
    </row>
    <row r="17" spans="1:14" ht="12.9" customHeight="1">
      <c r="A17" s="181" t="s">
        <v>1145</v>
      </c>
      <c r="B17" s="8"/>
      <c r="C17" s="8"/>
      <c r="D17" s="8"/>
      <c r="E17" s="8"/>
      <c r="F17" s="8"/>
      <c r="G17" s="8"/>
      <c r="H17" s="8"/>
      <c r="I17" s="8"/>
      <c r="J17" s="8"/>
      <c r="K17" s="8"/>
      <c r="L17" s="195"/>
      <c r="M17" s="155"/>
      <c r="N17" s="225"/>
    </row>
    <row r="18" spans="1:14" ht="12.9" customHeight="1">
      <c r="A18" s="181" t="s">
        <v>1146</v>
      </c>
      <c r="B18" s="8"/>
      <c r="C18" s="8"/>
      <c r="D18" s="8"/>
      <c r="E18" s="8"/>
      <c r="F18" s="8"/>
      <c r="G18" s="8"/>
      <c r="H18" s="8"/>
      <c r="I18" s="8"/>
      <c r="J18" s="8"/>
      <c r="K18" s="8"/>
      <c r="L18" s="195"/>
      <c r="M18" s="155"/>
      <c r="N18" s="225"/>
    </row>
    <row r="19" spans="1:14" ht="12.9" customHeight="1">
      <c r="A19" s="181" t="s">
        <v>1194</v>
      </c>
      <c r="B19" s="8"/>
      <c r="C19" s="8"/>
      <c r="D19" s="8"/>
      <c r="E19" s="8"/>
      <c r="F19" s="8"/>
      <c r="G19" s="8"/>
      <c r="H19" s="8"/>
      <c r="I19" s="8"/>
      <c r="J19" s="8"/>
      <c r="K19" s="8"/>
      <c r="L19" s="195"/>
      <c r="M19" s="155"/>
      <c r="N19" s="225"/>
    </row>
    <row r="20" spans="1:14" ht="12.9" customHeight="1">
      <c r="A20" s="181" t="s">
        <v>1195</v>
      </c>
      <c r="B20" s="8"/>
      <c r="C20" s="8"/>
      <c r="D20" s="8"/>
      <c r="E20" s="8"/>
      <c r="F20" s="8"/>
      <c r="G20" s="8"/>
      <c r="H20" s="8"/>
      <c r="I20" s="8"/>
      <c r="J20" s="8"/>
      <c r="K20" s="8"/>
      <c r="L20" s="195"/>
      <c r="M20" s="155"/>
      <c r="N20" s="225"/>
    </row>
    <row r="21" spans="1:14" ht="12.9" customHeight="1">
      <c r="A21" s="181" t="s">
        <v>1149</v>
      </c>
      <c r="B21" s="3"/>
      <c r="C21" s="157"/>
      <c r="D21" s="8"/>
      <c r="E21" s="8"/>
      <c r="F21" s="8"/>
      <c r="G21" s="8"/>
      <c r="H21" s="8"/>
      <c r="I21" s="8"/>
      <c r="J21" s="8"/>
      <c r="K21" s="8"/>
      <c r="L21" s="195"/>
      <c r="M21" s="170">
        <f>C21</f>
        <v>0</v>
      </c>
      <c r="N21" s="225"/>
    </row>
    <row r="22" spans="1:14" ht="12.9" customHeight="1">
      <c r="A22" s="181" t="s">
        <v>1150</v>
      </c>
      <c r="B22" s="8"/>
      <c r="C22" s="8"/>
      <c r="D22" s="8"/>
      <c r="E22" s="8"/>
      <c r="F22" s="8"/>
      <c r="G22" s="8"/>
      <c r="H22" s="8"/>
      <c r="I22" s="8"/>
      <c r="J22" s="8"/>
      <c r="K22" s="8"/>
      <c r="L22" s="195"/>
      <c r="M22" s="155"/>
      <c r="N22" s="225"/>
    </row>
    <row r="23" spans="1:14" ht="12.9" customHeight="1">
      <c r="A23" s="181" t="s">
        <v>1151</v>
      </c>
      <c r="B23" s="8"/>
      <c r="C23" s="8"/>
      <c r="D23" s="8"/>
      <c r="E23" s="8"/>
      <c r="F23" s="8"/>
      <c r="G23" s="8"/>
      <c r="H23" s="8"/>
      <c r="I23" s="8"/>
      <c r="J23" s="8"/>
      <c r="K23" s="8"/>
      <c r="L23" s="195"/>
      <c r="M23" s="155"/>
      <c r="N23" s="225"/>
    </row>
    <row r="24" spans="1:14" ht="12.9" customHeight="1">
      <c r="A24" s="181" t="s">
        <v>1152</v>
      </c>
      <c r="B24" s="8"/>
      <c r="C24" s="8"/>
      <c r="D24" s="8"/>
      <c r="E24" s="8"/>
      <c r="F24" s="8"/>
      <c r="G24" s="8"/>
      <c r="H24" s="8"/>
      <c r="I24" s="8"/>
      <c r="J24" s="8"/>
      <c r="K24" s="8"/>
      <c r="L24" s="195"/>
      <c r="M24" s="155"/>
      <c r="N24" s="225"/>
    </row>
    <row r="25" spans="1:14" ht="12.9" customHeight="1">
      <c r="A25" s="191" t="s">
        <v>1196</v>
      </c>
      <c r="B25" s="8"/>
      <c r="C25" s="8"/>
      <c r="D25" s="8"/>
      <c r="E25" s="8"/>
      <c r="F25" s="8"/>
      <c r="G25" s="8"/>
      <c r="H25" s="8"/>
      <c r="I25" s="8"/>
      <c r="J25" s="8"/>
      <c r="K25" s="8"/>
      <c r="L25" s="195"/>
      <c r="M25" s="155"/>
      <c r="N25" s="225"/>
    </row>
    <row r="26" spans="1:14" ht="12.9" customHeight="1">
      <c r="A26" s="181" t="s">
        <v>1197</v>
      </c>
      <c r="B26" s="8"/>
      <c r="C26" s="8"/>
      <c r="D26" s="8"/>
      <c r="E26" s="8"/>
      <c r="F26" s="8"/>
      <c r="G26" s="8"/>
      <c r="H26" s="8"/>
      <c r="I26" s="8"/>
      <c r="J26" s="8"/>
      <c r="K26" s="8"/>
      <c r="L26" s="195"/>
      <c r="M26" s="155"/>
      <c r="N26" s="225"/>
    </row>
    <row r="27" spans="1:14" ht="12.9" customHeight="1">
      <c r="A27" s="181"/>
      <c r="B27" s="8"/>
      <c r="C27" s="8"/>
      <c r="D27" s="8"/>
      <c r="E27" s="8"/>
      <c r="F27" s="8"/>
      <c r="G27" s="8"/>
      <c r="H27" s="8"/>
      <c r="I27" s="8"/>
      <c r="J27" s="8"/>
      <c r="K27" s="8"/>
      <c r="L27" s="195"/>
      <c r="M27" s="155"/>
      <c r="N27" s="225"/>
    </row>
    <row r="28" spans="1:14" ht="12.9" customHeight="1">
      <c r="A28" s="181"/>
      <c r="B28" s="8"/>
      <c r="C28" s="8"/>
      <c r="D28" s="8"/>
      <c r="E28" s="8"/>
      <c r="F28" s="8"/>
      <c r="G28" s="8"/>
      <c r="H28" s="8"/>
      <c r="I28" s="8"/>
      <c r="J28" s="8"/>
      <c r="K28" s="8"/>
      <c r="L28" s="195"/>
      <c r="M28" s="155"/>
      <c r="N28" s="225"/>
    </row>
    <row r="29" spans="1:14" ht="12.9" customHeight="1">
      <c r="A29" s="181"/>
      <c r="B29" s="8"/>
      <c r="C29" s="8"/>
      <c r="D29" s="8"/>
      <c r="E29" s="8"/>
      <c r="F29" s="8"/>
      <c r="G29" s="8"/>
      <c r="H29" s="8"/>
      <c r="I29" s="8"/>
      <c r="J29" s="8"/>
      <c r="K29" s="8"/>
      <c r="L29" s="195"/>
      <c r="M29" s="155"/>
      <c r="N29" s="225"/>
    </row>
    <row r="30" spans="1:14" ht="12.9" customHeight="1">
      <c r="A30" s="181"/>
      <c r="B30" s="8"/>
      <c r="C30" s="8"/>
      <c r="D30" s="8"/>
      <c r="E30" s="8"/>
      <c r="F30" s="8"/>
      <c r="G30" s="8"/>
      <c r="H30" s="8"/>
      <c r="I30" s="8"/>
      <c r="J30" s="8"/>
      <c r="K30" s="8"/>
      <c r="L30" s="195"/>
      <c r="M30" s="155"/>
      <c r="N30" s="225"/>
    </row>
    <row r="31" spans="1:14" ht="12.9" customHeight="1">
      <c r="A31" s="181"/>
      <c r="B31" s="8"/>
      <c r="C31" s="8"/>
      <c r="D31" s="8"/>
      <c r="E31" s="8"/>
      <c r="F31" s="8"/>
      <c r="G31" s="8"/>
      <c r="H31" s="8"/>
      <c r="I31" s="8"/>
      <c r="J31" s="8"/>
      <c r="K31" s="8"/>
      <c r="L31" s="195"/>
      <c r="M31" s="155"/>
      <c r="N31" s="225"/>
    </row>
    <row r="32" spans="1:14" ht="12.9" customHeight="1">
      <c r="A32" s="181"/>
      <c r="B32" s="8"/>
      <c r="C32" s="8"/>
      <c r="D32" s="8"/>
      <c r="E32" s="8"/>
      <c r="F32" s="8"/>
      <c r="G32" s="8"/>
      <c r="H32" s="8"/>
      <c r="I32" s="8"/>
      <c r="J32" s="8"/>
      <c r="K32" s="8"/>
      <c r="L32" s="195"/>
      <c r="M32" s="155"/>
      <c r="N32" s="225"/>
    </row>
    <row r="33" spans="1:14" ht="12.9" customHeight="1">
      <c r="A33" s="181"/>
      <c r="B33" s="8"/>
      <c r="C33" s="8"/>
      <c r="D33" s="8"/>
      <c r="E33" s="8"/>
      <c r="F33" s="8"/>
      <c r="G33" s="8"/>
      <c r="H33" s="8"/>
      <c r="I33" s="8"/>
      <c r="J33" s="8"/>
      <c r="K33" s="8"/>
      <c r="L33" s="195"/>
      <c r="M33" s="155"/>
      <c r="N33" s="225"/>
    </row>
    <row r="34" spans="1:14" s="15" customFormat="1" ht="12.9" customHeight="1" thickBot="1">
      <c r="A34" s="192"/>
      <c r="B34" s="228"/>
      <c r="C34" s="228"/>
      <c r="D34" s="228"/>
      <c r="E34" s="228"/>
      <c r="F34" s="228"/>
      <c r="G34" s="228"/>
      <c r="H34" s="228"/>
      <c r="I34" s="228"/>
      <c r="J34" s="228"/>
      <c r="K34" s="228"/>
      <c r="L34" s="228"/>
      <c r="M34" s="229"/>
      <c r="N34" s="225"/>
    </row>
    <row r="35" spans="1:14" s="15" customFormat="1" ht="12.9" customHeight="1" thickTop="1" thickBot="1">
      <c r="A35" s="193" t="s">
        <v>210</v>
      </c>
      <c r="B35" s="194">
        <f>SUM(B10:B34)</f>
        <v>0</v>
      </c>
      <c r="C35" s="194">
        <f t="shared" ref="C35:L35" si="0">SUM(C10:C34)</f>
        <v>0</v>
      </c>
      <c r="D35" s="194">
        <f t="shared" si="0"/>
        <v>0</v>
      </c>
      <c r="E35" s="194">
        <f t="shared" si="0"/>
        <v>0</v>
      </c>
      <c r="F35" s="194">
        <f t="shared" si="0"/>
        <v>0</v>
      </c>
      <c r="G35" s="194">
        <f t="shared" si="0"/>
        <v>0</v>
      </c>
      <c r="H35" s="194">
        <f t="shared" si="0"/>
        <v>0</v>
      </c>
      <c r="I35" s="194">
        <f t="shared" si="0"/>
        <v>0</v>
      </c>
      <c r="J35" s="194">
        <f t="shared" si="0"/>
        <v>0</v>
      </c>
      <c r="K35" s="194">
        <f t="shared" si="0"/>
        <v>0</v>
      </c>
      <c r="L35" s="194">
        <f t="shared" si="0"/>
        <v>0</v>
      </c>
      <c r="M35" s="170">
        <f>C35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397"/>
      <c r="B38" s="12"/>
      <c r="C38" s="12"/>
      <c r="D38" s="12"/>
      <c r="E38" s="12"/>
      <c r="F38" s="12"/>
      <c r="G38" s="12"/>
      <c r="H38" s="12"/>
      <c r="I38" s="12"/>
      <c r="J38" s="12"/>
      <c r="K38" s="12"/>
      <c r="L38" s="12"/>
      <c r="M38" s="62"/>
    </row>
    <row r="39" spans="1:14" ht="12.9" customHeight="1">
      <c r="A39" s="397"/>
      <c r="B39" s="12"/>
      <c r="C39" s="12"/>
      <c r="D39" s="12"/>
      <c r="E39" s="12"/>
      <c r="F39" s="12"/>
      <c r="G39" s="12"/>
      <c r="H39" s="12"/>
      <c r="I39" s="12"/>
      <c r="J39" s="12"/>
      <c r="K39" s="12"/>
      <c r="L39" s="12"/>
      <c r="M39" s="62"/>
    </row>
    <row r="40" spans="1:14" ht="12.9" customHeight="1">
      <c r="A40" s="397"/>
      <c r="B40" s="12"/>
      <c r="C40" s="12"/>
      <c r="D40" s="12"/>
      <c r="E40" s="12"/>
      <c r="F40" s="12"/>
      <c r="G40" s="12"/>
      <c r="H40" s="12"/>
      <c r="I40" s="12"/>
      <c r="J40" s="12"/>
      <c r="K40" s="12"/>
      <c r="L40" s="12"/>
      <c r="M40" s="62"/>
    </row>
    <row r="41" spans="1:14" ht="12.9" customHeight="1">
      <c r="A41" s="397"/>
      <c r="B41" s="12"/>
      <c r="C41" s="12"/>
      <c r="D41" s="12"/>
      <c r="E41" s="12"/>
      <c r="F41" s="12"/>
      <c r="G41" s="12"/>
      <c r="H41" s="12"/>
      <c r="I41" s="12"/>
      <c r="J41" s="12"/>
      <c r="K41" s="12"/>
      <c r="L41" s="12"/>
      <c r="M41" s="62"/>
    </row>
    <row r="42" spans="1:14" ht="12.9" customHeight="1">
      <c r="A42" s="397"/>
      <c r="B42" s="12"/>
      <c r="C42" s="12"/>
      <c r="D42" s="12"/>
      <c r="E42" s="12"/>
      <c r="F42" s="12"/>
      <c r="G42" s="12"/>
      <c r="H42" s="12"/>
      <c r="I42" s="12"/>
      <c r="J42" s="12"/>
      <c r="K42" s="12"/>
      <c r="L42" s="12"/>
      <c r="M42" s="168"/>
    </row>
    <row r="43" spans="1:14" ht="12.9" customHeight="1">
      <c r="A43" s="15" t="s">
        <v>1161</v>
      </c>
      <c r="B43" s="147" t="e">
        <f>(F6-C35)</f>
        <v>#N/A</v>
      </c>
      <c r="C43" s="610" t="e">
        <f>IF(F6-C35&lt;0,"Not Ok - You are over budget on expenditures.","")</f>
        <v>#N/A</v>
      </c>
      <c r="D43" s="611"/>
      <c r="E43" s="611"/>
      <c r="F43" s="574"/>
      <c r="G43" s="15"/>
      <c r="H43" s="15"/>
      <c r="I43" s="15"/>
      <c r="J43" s="15"/>
      <c r="K43" s="15"/>
      <c r="L43" s="15"/>
      <c r="M43" s="367" t="str">
        <f>IF(ISNUMBER(SEARCH("Not Ok",C43)), "X", "")</f>
        <v/>
      </c>
      <c r="N43" s="166"/>
    </row>
    <row r="44" spans="1:14" ht="12.9" customHeight="1">
      <c r="A44" s="15"/>
      <c r="B44" s="159"/>
      <c r="C44" s="601"/>
      <c r="D44" s="601"/>
      <c r="E44" s="601"/>
      <c r="F44" s="601"/>
      <c r="G44" s="601"/>
      <c r="H44" s="601"/>
      <c r="I44" s="601"/>
      <c r="J44" s="601"/>
      <c r="K44" s="601"/>
      <c r="L44" s="601"/>
      <c r="M44" s="367" t="str">
        <f t="shared" ref="M44:M53" si="1">IF(ISNUMBER(SEARCH("Not Ok",C44)), "X", "")</f>
        <v/>
      </c>
      <c r="N44" s="17"/>
    </row>
    <row r="45" spans="1:14" ht="12.9" customHeight="1">
      <c r="A45" s="15"/>
      <c r="B45" s="159"/>
      <c r="C45" s="601"/>
      <c r="D45" s="602"/>
      <c r="E45" s="602"/>
      <c r="F45" s="602"/>
      <c r="G45" s="602"/>
      <c r="H45" s="602"/>
      <c r="I45" s="602"/>
      <c r="J45" s="15"/>
      <c r="K45" s="15"/>
      <c r="L45" s="15"/>
      <c r="M45" s="367" t="str">
        <f t="shared" si="1"/>
        <v/>
      </c>
    </row>
    <row r="46" spans="1:14" ht="12.9" customHeight="1">
      <c r="A46" s="15"/>
      <c r="B46" s="159"/>
      <c r="C46" s="601"/>
      <c r="D46" s="601"/>
      <c r="E46" s="601"/>
      <c r="F46" s="601"/>
      <c r="G46" s="601"/>
      <c r="H46" s="601"/>
      <c r="I46" s="601"/>
      <c r="J46" s="601"/>
      <c r="K46" s="601"/>
      <c r="L46" s="601"/>
      <c r="M46" s="367" t="str">
        <f t="shared" si="1"/>
        <v/>
      </c>
      <c r="N46" s="17"/>
    </row>
    <row r="47" spans="1:14" ht="12.9" customHeight="1">
      <c r="A47" s="15"/>
      <c r="B47" s="147"/>
      <c r="C47" s="601"/>
      <c r="D47" s="602"/>
      <c r="E47" s="602"/>
      <c r="F47" s="602"/>
      <c r="G47" s="602"/>
      <c r="H47" s="602"/>
      <c r="I47" s="602"/>
      <c r="J47" s="15"/>
      <c r="K47" s="15"/>
      <c r="L47" s="15"/>
      <c r="M47" s="367" t="str">
        <f t="shared" si="1"/>
        <v/>
      </c>
    </row>
    <row r="48" spans="1:14" ht="12.9" customHeight="1">
      <c r="A48" s="15"/>
      <c r="B48" s="217"/>
      <c r="C48" s="15"/>
      <c r="D48" s="15"/>
      <c r="E48" s="15"/>
      <c r="F48" s="15"/>
      <c r="G48" s="15"/>
      <c r="H48" s="15"/>
      <c r="I48" s="15"/>
      <c r="J48" s="15"/>
      <c r="K48" s="15"/>
      <c r="L48" s="15"/>
      <c r="M48" s="367" t="str">
        <f t="shared" si="1"/>
        <v/>
      </c>
    </row>
    <row r="49" spans="1:18" ht="12.9" customHeight="1">
      <c r="A49" s="15"/>
      <c r="B49" s="147"/>
      <c r="C49" s="15"/>
      <c r="D49" s="15"/>
      <c r="E49" s="15"/>
      <c r="F49" s="15"/>
      <c r="G49" s="15"/>
      <c r="H49" s="15"/>
      <c r="I49" s="15"/>
      <c r="J49" s="15"/>
      <c r="K49" s="15"/>
      <c r="L49" s="15"/>
      <c r="M49" s="367" t="str">
        <f t="shared" si="1"/>
        <v/>
      </c>
      <c r="O49" s="397"/>
      <c r="P49" s="397"/>
      <c r="Q49" s="397"/>
      <c r="R49" s="397"/>
    </row>
    <row r="50" spans="1:18" s="15" customFormat="1" ht="12.9" customHeight="1">
      <c r="B50" s="227"/>
      <c r="C50" s="600"/>
      <c r="D50" s="574"/>
      <c r="E50" s="574"/>
      <c r="F50" s="574"/>
      <c r="G50" s="574"/>
      <c r="H50" s="574"/>
      <c r="I50" s="574"/>
      <c r="M50" s="367" t="str">
        <f t="shared" si="1"/>
        <v/>
      </c>
      <c r="N50" s="146"/>
      <c r="O50" s="146"/>
      <c r="P50" s="146"/>
      <c r="Q50" s="146"/>
      <c r="R50" s="146"/>
    </row>
    <row r="51" spans="1:18" s="15" customFormat="1" ht="12.9" customHeight="1">
      <c r="A51" s="15" t="e">
        <f>IF(B51="x","Non-Submission Period","")</f>
        <v>#N/A</v>
      </c>
      <c r="B51" s="227" t="e">
        <f>IF(AND(C35&gt;0,D4="Non-Submission Period"),"X","")</f>
        <v>#N/A</v>
      </c>
      <c r="C51" s="600" t="e">
        <f>IF(B51="x","Not Ok - You cannot claim against this contract as this is a Non-Submission Period for the contract.","")</f>
        <v>#N/A</v>
      </c>
      <c r="D51" s="574"/>
      <c r="E51" s="574"/>
      <c r="F51" s="574"/>
      <c r="G51" s="574"/>
      <c r="H51" s="574"/>
      <c r="I51" s="574"/>
      <c r="M51" s="367" t="str">
        <f t="shared" si="1"/>
        <v/>
      </c>
    </row>
    <row r="52" spans="1:18" s="15" customFormat="1" ht="12.9" customHeight="1">
      <c r="M52" s="367" t="str">
        <f t="shared" si="1"/>
        <v/>
      </c>
    </row>
    <row r="53" spans="1:18" ht="12.9" customHeight="1">
      <c r="A53" s="397"/>
      <c r="B53" s="397"/>
      <c r="C53" s="397"/>
      <c r="D53" s="397"/>
      <c r="E53" s="397"/>
      <c r="F53" s="397"/>
      <c r="G53" s="397"/>
      <c r="H53" s="397"/>
      <c r="I53" s="397"/>
      <c r="J53" s="397"/>
      <c r="K53" s="397"/>
      <c r="L53" s="397"/>
      <c r="M53" s="367" t="str">
        <f t="shared" si="1"/>
        <v/>
      </c>
      <c r="O53" s="397"/>
      <c r="P53" s="397"/>
      <c r="Q53" s="397"/>
      <c r="R53" s="397"/>
    </row>
    <row r="54" spans="1:18" ht="12.9" customHeight="1">
      <c r="A54" s="397"/>
      <c r="B54" s="397"/>
      <c r="C54" s="397"/>
      <c r="D54" s="397"/>
      <c r="E54" s="397"/>
      <c r="F54" s="397"/>
      <c r="G54" s="397"/>
      <c r="H54" s="397"/>
      <c r="I54" s="397"/>
      <c r="J54" s="397"/>
      <c r="K54" s="397"/>
      <c r="L54" s="397"/>
      <c r="M54" s="397"/>
      <c r="O54" s="397"/>
      <c r="P54" s="397"/>
      <c r="Q54" s="397"/>
      <c r="R54" s="397"/>
    </row>
    <row r="55" spans="1:18" ht="12.9" customHeight="1">
      <c r="A55" s="397"/>
      <c r="B55" s="397"/>
      <c r="C55" s="397"/>
      <c r="D55" s="397"/>
      <c r="E55" s="397"/>
      <c r="F55" s="397"/>
      <c r="G55" s="397"/>
      <c r="H55" s="397"/>
      <c r="I55" s="397"/>
      <c r="J55" s="397"/>
      <c r="K55" s="397"/>
      <c r="L55" s="397"/>
      <c r="M55" s="397"/>
      <c r="O55" s="397"/>
      <c r="P55" s="397"/>
      <c r="Q55" s="397"/>
      <c r="R55" s="397"/>
    </row>
    <row r="56" spans="1:18" ht="12.9" customHeight="1">
      <c r="A56" s="397"/>
      <c r="B56" s="397"/>
      <c r="C56" s="397"/>
      <c r="D56" s="397"/>
      <c r="E56" s="397"/>
      <c r="F56" s="397"/>
      <c r="G56" s="397"/>
      <c r="H56" s="397"/>
      <c r="I56" s="397"/>
      <c r="J56" s="397"/>
      <c r="K56" s="397"/>
      <c r="L56" s="397"/>
      <c r="M56" s="397"/>
      <c r="O56" s="397"/>
      <c r="P56" s="397"/>
      <c r="Q56" s="397"/>
      <c r="R56" s="397"/>
    </row>
    <row r="57" spans="1:18" ht="12.9" customHeight="1">
      <c r="A57" s="397"/>
      <c r="B57" s="397"/>
      <c r="C57" s="397"/>
      <c r="D57" s="397"/>
      <c r="E57" s="397"/>
      <c r="F57" s="397"/>
      <c r="G57" s="397"/>
      <c r="H57" s="397"/>
      <c r="I57" s="397"/>
      <c r="J57" s="397"/>
      <c r="K57" s="397"/>
      <c r="L57" s="397"/>
      <c r="M57" s="397"/>
      <c r="O57" s="397"/>
      <c r="P57" s="397"/>
      <c r="Q57" s="397"/>
      <c r="R57" s="397"/>
    </row>
    <row r="58" spans="1:18" ht="12.9" customHeight="1">
      <c r="A58" s="397"/>
      <c r="B58" s="397"/>
      <c r="C58" s="397"/>
      <c r="D58" s="397"/>
      <c r="E58" s="397"/>
      <c r="F58" s="397"/>
      <c r="G58" s="397"/>
      <c r="H58" s="397"/>
      <c r="I58" s="397"/>
      <c r="J58" s="397"/>
      <c r="K58" s="397"/>
      <c r="L58" s="397"/>
      <c r="M58" s="397"/>
      <c r="O58" s="397"/>
      <c r="P58" s="397"/>
      <c r="Q58" s="397"/>
      <c r="R58" s="397"/>
    </row>
    <row r="59" spans="1:18" ht="12.9" customHeight="1">
      <c r="A59" s="397"/>
      <c r="B59" s="397"/>
      <c r="C59" s="397"/>
      <c r="D59" s="397"/>
      <c r="E59" s="397"/>
      <c r="F59" s="397"/>
      <c r="G59" s="397"/>
      <c r="H59" s="397"/>
      <c r="I59" s="397"/>
      <c r="J59" s="397"/>
      <c r="K59" s="397"/>
      <c r="L59" s="397"/>
      <c r="M59" s="397"/>
      <c r="O59" s="397"/>
      <c r="P59" s="397"/>
      <c r="Q59" s="397"/>
      <c r="R59" s="397"/>
    </row>
    <row r="60" spans="1:18" ht="12.9" customHeight="1">
      <c r="A60" s="397"/>
      <c r="B60" s="397"/>
      <c r="C60" s="397"/>
      <c r="D60" s="397"/>
      <c r="E60" s="397"/>
      <c r="F60" s="397"/>
      <c r="G60" s="397"/>
      <c r="H60" s="397"/>
      <c r="I60" s="397"/>
      <c r="J60" s="397"/>
      <c r="K60" s="397"/>
      <c r="L60" s="397"/>
      <c r="M60" s="397"/>
      <c r="O60" s="397"/>
      <c r="P60" s="397"/>
      <c r="Q60" s="397"/>
      <c r="R60" s="397"/>
    </row>
    <row r="61" spans="1:18" ht="12.9" customHeight="1">
      <c r="A61" s="397"/>
      <c r="B61" s="397"/>
      <c r="C61" s="397"/>
      <c r="D61" s="397"/>
      <c r="E61" s="397"/>
      <c r="F61" s="397"/>
      <c r="G61" s="397"/>
      <c r="H61" s="397"/>
      <c r="I61" s="397"/>
      <c r="J61" s="397"/>
      <c r="K61" s="397"/>
      <c r="L61" s="397"/>
      <c r="M61" s="397"/>
      <c r="O61" s="397"/>
      <c r="P61" s="397"/>
      <c r="Q61" s="397"/>
      <c r="R61" s="397"/>
    </row>
    <row r="62" spans="1:18" ht="12.9" customHeight="1">
      <c r="A62" s="397"/>
      <c r="B62" s="397"/>
      <c r="C62" s="397"/>
      <c r="D62" s="397"/>
      <c r="E62" s="397"/>
      <c r="F62" s="397"/>
      <c r="G62" s="397"/>
      <c r="H62" s="397"/>
      <c r="I62" s="397"/>
      <c r="J62" s="397"/>
      <c r="K62" s="397"/>
      <c r="L62" s="397"/>
      <c r="M62" s="397"/>
      <c r="O62" s="397"/>
      <c r="P62" s="397"/>
      <c r="Q62" s="397"/>
      <c r="R62" s="397"/>
    </row>
    <row r="63" spans="1:18" ht="12.9" customHeight="1">
      <c r="A63" s="397"/>
      <c r="B63" s="397"/>
      <c r="C63" s="397"/>
      <c r="D63" s="397"/>
      <c r="E63" s="397"/>
      <c r="F63" s="397"/>
      <c r="G63" s="397"/>
      <c r="H63" s="397"/>
      <c r="I63" s="397"/>
      <c r="J63" s="397"/>
      <c r="K63" s="397"/>
      <c r="L63" s="397"/>
      <c r="M63" s="397"/>
      <c r="O63" s="397"/>
      <c r="P63" s="397"/>
      <c r="Q63" s="397"/>
      <c r="R63" s="397"/>
    </row>
    <row r="64" spans="1:18" ht="12.9" customHeight="1">
      <c r="A64" s="397"/>
      <c r="B64" s="397"/>
      <c r="C64" s="397"/>
      <c r="D64" s="397"/>
      <c r="E64" s="397"/>
      <c r="F64" s="397"/>
      <c r="G64" s="397"/>
      <c r="H64" s="397"/>
      <c r="I64" s="397"/>
      <c r="J64" s="397"/>
      <c r="K64" s="397"/>
      <c r="L64" s="397"/>
      <c r="M64" s="397"/>
      <c r="O64" s="397"/>
      <c r="P64" s="397"/>
      <c r="Q64" s="397"/>
      <c r="R64" s="397"/>
    </row>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row r="102" ht="12.9" customHeight="1"/>
    <row r="103" ht="12.9" customHeight="1"/>
    <row r="104" ht="12.9" customHeight="1"/>
    <row r="105" ht="12.9" customHeight="1"/>
    <row r="106" ht="12.9" customHeight="1"/>
    <row r="107" ht="12.9" customHeight="1"/>
    <row r="108" ht="12.9" customHeight="1"/>
    <row r="109" ht="12.9" customHeight="1"/>
    <row r="110" ht="12.9" customHeight="1"/>
    <row r="111" ht="12.9" customHeight="1"/>
    <row r="112" ht="12.9" customHeight="1"/>
    <row r="113" ht="12.9" customHeight="1"/>
    <row r="114" ht="12.9" customHeight="1"/>
    <row r="115" ht="12.9" customHeight="1"/>
    <row r="116" ht="12.9" customHeight="1"/>
    <row r="117" ht="12.9" customHeight="1"/>
    <row r="118" ht="12.9" customHeight="1"/>
    <row r="119" ht="12.9" customHeight="1"/>
    <row r="120" ht="12.9" customHeight="1"/>
    <row r="121" ht="12.9" customHeight="1"/>
    <row r="122" ht="12.9" customHeight="1"/>
    <row r="123" ht="12.9" customHeight="1"/>
    <row r="124" ht="12.9" customHeight="1"/>
    <row r="125" ht="12.9" customHeight="1"/>
    <row r="126" ht="12.9" customHeight="1"/>
    <row r="127" ht="12.9" customHeight="1"/>
    <row r="128" ht="12.9" customHeight="1"/>
    <row r="129" ht="12.9" customHeight="1"/>
    <row r="130" ht="12.9" customHeight="1"/>
    <row r="131" ht="12.9" customHeight="1"/>
    <row r="132" ht="12.9" customHeight="1"/>
    <row r="133" ht="12.9" customHeight="1"/>
    <row r="134" ht="12.9" customHeight="1"/>
    <row r="135" ht="12.9" customHeight="1"/>
    <row r="136" ht="12.9" customHeight="1"/>
    <row r="137" ht="12.9" customHeight="1"/>
    <row r="138" ht="12.9" customHeight="1"/>
    <row r="139" ht="12.9" customHeight="1"/>
    <row r="140" ht="12.9" customHeight="1"/>
    <row r="141" ht="12.9" customHeight="1"/>
    <row r="142" ht="12.9" customHeight="1"/>
    <row r="143" ht="12.9" customHeight="1"/>
    <row r="144" ht="12.9" customHeight="1"/>
    <row r="145" ht="12.9" customHeight="1"/>
    <row r="146" ht="12.9" customHeight="1"/>
    <row r="147" ht="12.9" customHeight="1"/>
    <row r="148" ht="12.9" customHeight="1"/>
    <row r="149" ht="12.9" customHeight="1"/>
    <row r="150" ht="12.9" customHeight="1"/>
    <row r="151" ht="12.9" customHeight="1"/>
    <row r="152" ht="12.9" customHeight="1"/>
    <row r="153" ht="12.9" customHeight="1"/>
    <row r="154" ht="12.9" customHeight="1"/>
    <row r="155" ht="12.9" customHeight="1"/>
    <row r="156" ht="12.9" customHeight="1"/>
    <row r="157" ht="12.9" customHeight="1"/>
    <row r="158" ht="12.9" customHeight="1"/>
    <row r="159" ht="12.9" customHeight="1"/>
  </sheetData>
  <sheetProtection password="C3C4" sheet="1" objects="1" scenarios="1"/>
  <customSheetViews>
    <customSheetView guid="{89953FCB-456A-4C2D-8912-B30825F750D3}" fitToPage="1" state="hidden" topLeftCell="A13">
      <selection activeCell="F36" sqref="F36"/>
      <pageMargins left="0" right="0" top="0" bottom="0" header="0" footer="0"/>
      <printOptions horizontalCentered="1"/>
      <pageSetup scale="82" orientation="landscape" r:id="rId1"/>
      <headerFooter alignWithMargins="0">
        <oddFooter>&amp;R&amp;8&amp;Z&amp;F</oddFooter>
      </headerFooter>
    </customSheetView>
  </customSheetViews>
  <mergeCells count="17">
    <mergeCell ref="E5:F5"/>
    <mergeCell ref="C46:L46"/>
    <mergeCell ref="C47:I47"/>
    <mergeCell ref="C50:I50"/>
    <mergeCell ref="C51:I51"/>
    <mergeCell ref="A1:C1"/>
    <mergeCell ref="A2:B2"/>
    <mergeCell ref="C43:F43"/>
    <mergeCell ref="C44:L44"/>
    <mergeCell ref="C45:I45"/>
    <mergeCell ref="A7:L7"/>
    <mergeCell ref="K3:L3"/>
    <mergeCell ref="B8:J8"/>
    <mergeCell ref="K1:L1"/>
    <mergeCell ref="K2:L2"/>
    <mergeCell ref="E3:F3"/>
    <mergeCell ref="D4:F4"/>
  </mergeCells>
  <conditionalFormatting sqref="G3">
    <cfRule type="containsText" dxfId="164" priority="94" stopIfTrue="1" operator="containsText" text="Not Ok">
      <formula>NOT(ISERROR(SEARCH("Not Ok",G3)))</formula>
    </cfRule>
    <cfRule type="containsText" dxfId="163" priority="95" stopIfTrue="1" operator="containsText" text="Not Ok">
      <formula>NOT(ISERROR(SEARCH("Not Ok",G3)))</formula>
    </cfRule>
  </conditionalFormatting>
  <conditionalFormatting sqref="G3">
    <cfRule type="containsText" dxfId="162" priority="93" stopIfTrue="1" operator="containsText" text="Not Ok">
      <formula>NOT(ISERROR(SEARCH("Not Ok",G3)))</formula>
    </cfRule>
  </conditionalFormatting>
  <conditionalFormatting sqref="B38:B41">
    <cfRule type="cellIs" dxfId="161" priority="63" stopIfTrue="1" operator="equal">
      <formula>"You cannot claim against this contract until all prior year program income has been expended."</formula>
    </cfRule>
  </conditionalFormatting>
  <conditionalFormatting sqref="N45:N47">
    <cfRule type="containsText" dxfId="160" priority="36" stopIfTrue="1" operator="containsText" text="Not Ok">
      <formula>NOT(ISERROR(SEARCH("Not Ok",N45)))</formula>
    </cfRule>
  </conditionalFormatting>
  <conditionalFormatting sqref="N43:N47">
    <cfRule type="containsText" dxfId="159" priority="35" operator="containsText" text="Not Ok">
      <formula>NOT(ISERROR(SEARCH("Not Ok",N43)))</formula>
    </cfRule>
  </conditionalFormatting>
  <conditionalFormatting sqref="A1">
    <cfRule type="containsText" dxfId="158" priority="26" operator="containsText" text="End">
      <formula>NOT(ISERROR(SEARCH("End",A1)))</formula>
    </cfRule>
  </conditionalFormatting>
  <conditionalFormatting sqref="A1">
    <cfRule type="containsText" dxfId="157" priority="25" operator="containsText" text="End">
      <formula>NOT(ISERROR(SEARCH("End",A1)))</formula>
    </cfRule>
  </conditionalFormatting>
  <conditionalFormatting sqref="A2:B2">
    <cfRule type="containsText" dxfId="156" priority="24" operator="containsText" text="Please">
      <formula>NOT(ISERROR(SEARCH("Please",A2)))</formula>
    </cfRule>
  </conditionalFormatting>
  <conditionalFormatting sqref="M21">
    <cfRule type="containsText" dxfId="155" priority="22" operator="containsText" text="#">
      <formula>NOT(ISERROR(SEARCH("#",M21)))</formula>
    </cfRule>
  </conditionalFormatting>
  <conditionalFormatting sqref="B36:L36">
    <cfRule type="containsText" dxfId="154" priority="21" operator="containsText" text="Error">
      <formula>NOT(ISERROR(SEARCH("Error",B36)))</formula>
    </cfRule>
  </conditionalFormatting>
  <conditionalFormatting sqref="A36">
    <cfRule type="containsText" dxfId="153" priority="20" operator="containsText" text="Enter">
      <formula>NOT(ISERROR(SEARCH("Enter",A36)))</formula>
    </cfRule>
  </conditionalFormatting>
  <conditionalFormatting sqref="B50">
    <cfRule type="cellIs" dxfId="152" priority="6" stopIfTrue="1" operator="equal">
      <formula>"You cannot claim against this contract until all prior year program income has been expended."</formula>
    </cfRule>
  </conditionalFormatting>
  <conditionalFormatting sqref="C50:C51">
    <cfRule type="containsText" dxfId="151" priority="5" operator="containsText" text="You">
      <formula>NOT(ISERROR(SEARCH("You",C50)))</formula>
    </cfRule>
  </conditionalFormatting>
  <conditionalFormatting sqref="C45:H47 I47 C44">
    <cfRule type="containsText" dxfId="150" priority="9" stopIfTrue="1" operator="containsText" text="Not Ok">
      <formula>NOT(ISERROR(SEARCH("Not Ok",C44)))</formula>
    </cfRule>
  </conditionalFormatting>
  <conditionalFormatting sqref="M42">
    <cfRule type="cellIs" dxfId="149" priority="14" stopIfTrue="1" operator="equal">
      <formula>"You are over budget on expenditures."</formula>
    </cfRule>
  </conditionalFormatting>
  <conditionalFormatting sqref="M42">
    <cfRule type="containsText" dxfId="148" priority="13" operator="containsText" text="Not Ok">
      <formula>NOT(ISERROR(SEARCH("Not Ok",M42)))</formula>
    </cfRule>
  </conditionalFormatting>
  <conditionalFormatting sqref="C44">
    <cfRule type="containsText" dxfId="147" priority="12" stopIfTrue="1" operator="containsText" text="Not Ok">
      <formula>NOT(ISERROR(SEARCH("Not Ok",C44)))</formula>
    </cfRule>
  </conditionalFormatting>
  <conditionalFormatting sqref="C44:C47">
    <cfRule type="containsText" dxfId="146" priority="10" stopIfTrue="1" operator="containsText" text="Not Ok">
      <formula>NOT(ISERROR(SEARCH("Not Ok",C44)))</formula>
    </cfRule>
    <cfRule type="containsText" dxfId="145" priority="11" stopIfTrue="1" operator="containsText" text="Not Ok">
      <formula>NOT(ISERROR(SEARCH("Not Ok",C44)))</formula>
    </cfRule>
  </conditionalFormatting>
  <conditionalFormatting sqref="C43">
    <cfRule type="cellIs" dxfId="144" priority="8" stopIfTrue="1" operator="equal">
      <formula>"You are over budget on expenditures."</formula>
    </cfRule>
  </conditionalFormatting>
  <conditionalFormatting sqref="C44:L47 C43:E43 G43:L43">
    <cfRule type="containsText" dxfId="143" priority="7" operator="containsText" text="Not Ok">
      <formula>NOT(ISERROR(SEARCH("Not Ok",C43)))</formula>
    </cfRule>
  </conditionalFormatting>
  <conditionalFormatting sqref="N1">
    <cfRule type="containsText" dxfId="142" priority="4" operator="containsText" text="End">
      <formula>NOT(ISERROR(SEARCH("End",N1)))</formula>
    </cfRule>
  </conditionalFormatting>
  <conditionalFormatting sqref="N1">
    <cfRule type="containsText" dxfId="141" priority="3" operator="containsText" text="End">
      <formula>NOT(ISERROR(SEARCH("End",N1)))</formula>
    </cfRule>
  </conditionalFormatting>
  <conditionalFormatting sqref="N2">
    <cfRule type="containsText" dxfId="140" priority="2" operator="containsText" text="Please">
      <formula>NOT(ISERROR(SEARCH("Please",N2)))</formula>
    </cfRule>
  </conditionalFormatting>
  <conditionalFormatting sqref="M35">
    <cfRule type="containsText" dxfId="139" priority="1" operator="containsText" text="#">
      <formula>NOT(ISERROR(SEARCH("#",M35)))</formula>
    </cfRule>
  </conditionalFormatting>
  <dataValidations count="1">
    <dataValidation type="whole" allowBlank="1" showInputMessage="1" showErrorMessage="1" errorTitle="Whole Number Validation" error="You must enter all dollars as whole numbers - no decimals (cents) or spaces." sqref="B21:G21" xr:uid="{35873C57-2256-435E-A44B-FCA18F60E72D}">
      <formula1>-100000000</formula1>
      <formula2>100000000</formula2>
    </dataValidation>
  </dataValidations>
  <printOptions horizontalCentered="1"/>
  <pageMargins left="0.25" right="0.25" top="0.25" bottom="0.5" header="0" footer="0"/>
  <pageSetup scale="73" orientation="landscape" r:id="rId2"/>
  <headerFooter alignWithMargins="0">
    <oddFooter>&amp;R&amp;8&amp;Z&amp;F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2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9.109375" defaultRowHeight="15.6"/>
  <cols>
    <col min="1" max="1" width="31" style="73" bestFit="1" customWidth="1"/>
    <col min="2" max="2" width="17.88671875" style="73" customWidth="1"/>
    <col min="3" max="3" width="13.5546875" style="74" customWidth="1"/>
    <col min="4" max="4" width="17.109375" style="79" customWidth="1"/>
    <col min="5" max="5" width="18.5546875" style="80" customWidth="1"/>
    <col min="6" max="6" width="16.88671875" style="127" customWidth="1"/>
    <col min="7" max="7" width="14.5546875" style="81" customWidth="1"/>
    <col min="8" max="8" width="17.5546875" style="82" customWidth="1"/>
    <col min="9" max="9" width="15.44140625" style="75" customWidth="1"/>
    <col min="10" max="10" width="16.33203125" style="85" customWidth="1"/>
    <col min="11" max="11" width="15" style="83" customWidth="1"/>
    <col min="12" max="12" width="14.33203125" style="86" customWidth="1"/>
    <col min="13" max="13" width="14" style="84" customWidth="1"/>
    <col min="14" max="14" width="13.109375" style="75" customWidth="1"/>
    <col min="15" max="15" width="15.88671875" style="77" customWidth="1"/>
    <col min="16" max="16" width="15.88671875" style="91" customWidth="1"/>
    <col min="17" max="18" width="12" style="78" bestFit="1" customWidth="1"/>
    <col min="19" max="20" width="20.5546875" style="91" bestFit="1" customWidth="1"/>
    <col min="21" max="182" width="13" style="73" customWidth="1"/>
    <col min="183" max="183" width="2.33203125" style="73" customWidth="1"/>
    <col min="184" max="184" width="13" style="73" customWidth="1"/>
    <col min="185" max="187" width="2.33203125" style="73" customWidth="1"/>
    <col min="188" max="16384" width="9.109375" style="73"/>
  </cols>
  <sheetData>
    <row r="1" spans="1:24" ht="16.2" thickBot="1">
      <c r="D1" s="44" t="s">
        <v>186</v>
      </c>
      <c r="E1" s="45" t="s">
        <v>187</v>
      </c>
      <c r="F1" s="125" t="s">
        <v>188</v>
      </c>
      <c r="G1" s="47" t="s">
        <v>189</v>
      </c>
      <c r="H1" s="49" t="s">
        <v>190</v>
      </c>
      <c r="I1" s="50" t="s">
        <v>191</v>
      </c>
      <c r="J1" s="47" t="s">
        <v>192</v>
      </c>
      <c r="K1" s="52" t="s">
        <v>193</v>
      </c>
      <c r="L1" s="63" t="s">
        <v>194</v>
      </c>
      <c r="M1" s="46"/>
      <c r="N1" s="53"/>
      <c r="O1" s="54"/>
      <c r="P1" s="119"/>
      <c r="Q1" s="56" t="s">
        <v>195</v>
      </c>
      <c r="R1" s="56" t="s">
        <v>196</v>
      </c>
      <c r="S1" s="71" t="s">
        <v>197</v>
      </c>
      <c r="T1" s="71" t="s">
        <v>198</v>
      </c>
    </row>
    <row r="2" spans="1:24">
      <c r="A2" s="29"/>
      <c r="B2" s="29"/>
      <c r="C2" s="28"/>
      <c r="D2" s="44" t="s">
        <v>199</v>
      </c>
      <c r="E2" s="45" t="s">
        <v>200</v>
      </c>
      <c r="F2" s="125" t="s">
        <v>201</v>
      </c>
      <c r="G2" s="47" t="s">
        <v>202</v>
      </c>
      <c r="H2" s="49" t="s">
        <v>203</v>
      </c>
      <c r="I2" s="50" t="s">
        <v>204</v>
      </c>
      <c r="J2" s="47" t="s">
        <v>205</v>
      </c>
      <c r="K2" s="52" t="s">
        <v>206</v>
      </c>
      <c r="L2" s="63" t="s">
        <v>207</v>
      </c>
      <c r="M2" s="46" t="s">
        <v>208</v>
      </c>
      <c r="N2" s="50" t="s">
        <v>209</v>
      </c>
      <c r="O2" s="54"/>
      <c r="P2" s="119"/>
      <c r="Q2" s="87" t="s">
        <v>210</v>
      </c>
      <c r="R2" s="87" t="s">
        <v>210</v>
      </c>
      <c r="S2" s="569" t="s">
        <v>211</v>
      </c>
      <c r="T2" s="569" t="s">
        <v>212</v>
      </c>
    </row>
    <row r="3" spans="1:24" ht="16.2" thickBot="1">
      <c r="A3" s="29" t="s">
        <v>95</v>
      </c>
      <c r="B3" s="29" t="s">
        <v>213</v>
      </c>
      <c r="C3" s="28" t="s">
        <v>214</v>
      </c>
      <c r="D3" s="44" t="s">
        <v>215</v>
      </c>
      <c r="E3" s="45" t="s">
        <v>215</v>
      </c>
      <c r="F3" s="125" t="s">
        <v>215</v>
      </c>
      <c r="G3" s="47" t="s">
        <v>215</v>
      </c>
      <c r="H3" s="49" t="s">
        <v>215</v>
      </c>
      <c r="I3" s="50" t="s">
        <v>216</v>
      </c>
      <c r="J3" s="47" t="s">
        <v>217</v>
      </c>
      <c r="K3" s="52" t="s">
        <v>218</v>
      </c>
      <c r="L3" s="63" t="s">
        <v>219</v>
      </c>
      <c r="M3" s="46" t="s">
        <v>210</v>
      </c>
      <c r="N3" s="51" t="s">
        <v>210</v>
      </c>
      <c r="O3" s="55" t="s">
        <v>220</v>
      </c>
      <c r="P3" s="120" t="s">
        <v>221</v>
      </c>
      <c r="Q3" s="88">
        <v>560432</v>
      </c>
      <c r="R3" s="88">
        <v>560432</v>
      </c>
      <c r="S3" s="570"/>
      <c r="T3" s="570"/>
    </row>
    <row r="4" spans="1:24">
      <c r="A4" s="40" t="s">
        <v>96</v>
      </c>
      <c r="B4" s="40"/>
      <c r="C4" s="41">
        <v>100</v>
      </c>
      <c r="D4" s="94">
        <v>34972</v>
      </c>
      <c r="E4" s="96">
        <v>20837</v>
      </c>
      <c r="F4" s="126">
        <v>11459</v>
      </c>
      <c r="G4" s="48">
        <v>2767</v>
      </c>
      <c r="H4" s="97">
        <v>14546</v>
      </c>
      <c r="I4" s="98">
        <v>1378</v>
      </c>
      <c r="J4" s="99">
        <v>6885</v>
      </c>
      <c r="K4" s="100">
        <v>14108</v>
      </c>
      <c r="L4" s="101">
        <v>2546</v>
      </c>
      <c r="M4" s="403">
        <v>12152</v>
      </c>
      <c r="N4" s="60"/>
      <c r="O4" s="106"/>
      <c r="P4" s="121">
        <v>3275</v>
      </c>
      <c r="Q4" s="105"/>
      <c r="R4" s="89">
        <v>3075</v>
      </c>
      <c r="S4" s="90"/>
      <c r="T4" s="90">
        <v>2136</v>
      </c>
      <c r="U4" s="76"/>
      <c r="V4" s="76"/>
      <c r="X4" s="76"/>
    </row>
    <row r="5" spans="1:24">
      <c r="A5" s="40" t="s">
        <v>97</v>
      </c>
      <c r="B5" s="40" t="s">
        <v>222</v>
      </c>
      <c r="C5" s="41">
        <v>110</v>
      </c>
      <c r="D5" s="94">
        <v>268742</v>
      </c>
      <c r="E5" s="96">
        <v>168391</v>
      </c>
      <c r="F5" s="126">
        <v>100587</v>
      </c>
      <c r="G5" s="48">
        <v>22361</v>
      </c>
      <c r="H5" s="97">
        <v>136039</v>
      </c>
      <c r="I5" s="102">
        <v>8787</v>
      </c>
      <c r="J5" s="103">
        <v>60434</v>
      </c>
      <c r="K5" s="104">
        <v>59042</v>
      </c>
      <c r="L5" s="101">
        <v>0</v>
      </c>
      <c r="M5" s="403">
        <v>121287</v>
      </c>
      <c r="N5" s="60"/>
      <c r="O5" s="106"/>
      <c r="P5" s="121">
        <v>27601</v>
      </c>
      <c r="Q5" s="105"/>
      <c r="R5" s="89">
        <v>15321</v>
      </c>
      <c r="S5" s="90"/>
      <c r="T5" s="90">
        <v>17895</v>
      </c>
      <c r="U5" s="73" t="s">
        <v>223</v>
      </c>
    </row>
    <row r="6" spans="1:24">
      <c r="A6" s="40" t="s">
        <v>98</v>
      </c>
      <c r="B6" s="40" t="s">
        <v>222</v>
      </c>
      <c r="C6" s="41">
        <v>120</v>
      </c>
      <c r="D6" s="94">
        <v>25243</v>
      </c>
      <c r="E6" s="96">
        <v>18944</v>
      </c>
      <c r="F6" s="126">
        <v>7327</v>
      </c>
      <c r="G6" s="48">
        <v>2516</v>
      </c>
      <c r="H6" s="97">
        <v>9300</v>
      </c>
      <c r="I6" s="98">
        <v>1472</v>
      </c>
      <c r="J6" s="99">
        <v>0</v>
      </c>
      <c r="K6" s="100">
        <v>14108</v>
      </c>
      <c r="L6" s="101">
        <v>2604</v>
      </c>
      <c r="M6" s="403">
        <v>21050</v>
      </c>
      <c r="N6" s="60"/>
      <c r="O6" s="106"/>
      <c r="P6" s="121">
        <v>3275</v>
      </c>
      <c r="Q6" s="105"/>
      <c r="R6" s="89">
        <v>4000</v>
      </c>
      <c r="S6" s="90"/>
      <c r="T6" s="90">
        <v>1244</v>
      </c>
    </row>
    <row r="7" spans="1:24">
      <c r="A7" s="149" t="s">
        <v>173</v>
      </c>
      <c r="B7" s="40" t="s">
        <v>222</v>
      </c>
      <c r="C7" s="41">
        <v>130</v>
      </c>
      <c r="D7" s="94">
        <v>8723</v>
      </c>
      <c r="E7" s="96">
        <v>1458</v>
      </c>
      <c r="F7" s="150">
        <v>3955</v>
      </c>
      <c r="G7" s="48">
        <v>475</v>
      </c>
      <c r="H7" s="97">
        <v>0</v>
      </c>
      <c r="I7" s="98">
        <v>199</v>
      </c>
      <c r="J7" s="99">
        <v>2612</v>
      </c>
      <c r="K7" s="100">
        <v>0</v>
      </c>
      <c r="L7" s="101">
        <v>0</v>
      </c>
      <c r="M7" s="403">
        <v>5030</v>
      </c>
      <c r="N7" s="60"/>
      <c r="O7" s="106"/>
      <c r="P7" s="121">
        <v>0</v>
      </c>
      <c r="Q7" s="105"/>
      <c r="R7" s="89">
        <v>0</v>
      </c>
      <c r="S7" s="90"/>
      <c r="T7" s="90">
        <v>0</v>
      </c>
    </row>
    <row r="8" spans="1:24">
      <c r="A8" s="40" t="s">
        <v>99</v>
      </c>
      <c r="B8" s="40" t="s">
        <v>222</v>
      </c>
      <c r="C8" s="41">
        <v>140</v>
      </c>
      <c r="D8" s="94">
        <v>56610</v>
      </c>
      <c r="E8" s="96">
        <v>46687</v>
      </c>
      <c r="F8" s="126">
        <v>20653</v>
      </c>
      <c r="G8" s="48">
        <v>6200</v>
      </c>
      <c r="H8" s="97">
        <v>26216</v>
      </c>
      <c r="I8" s="98">
        <v>2215</v>
      </c>
      <c r="J8" s="99">
        <v>12410</v>
      </c>
      <c r="K8" s="100">
        <v>14108</v>
      </c>
      <c r="L8" s="101">
        <v>5645</v>
      </c>
      <c r="M8" s="403">
        <v>47644</v>
      </c>
      <c r="N8" s="60"/>
      <c r="O8" s="106"/>
      <c r="P8" s="121">
        <v>5329</v>
      </c>
      <c r="Q8" s="105"/>
      <c r="R8" s="89">
        <v>3383</v>
      </c>
      <c r="S8" s="90"/>
      <c r="T8" s="90">
        <v>3650</v>
      </c>
    </row>
    <row r="9" spans="1:24">
      <c r="A9" s="40" t="s">
        <v>100</v>
      </c>
      <c r="B9" s="40" t="s">
        <v>222</v>
      </c>
      <c r="C9" s="41">
        <v>150</v>
      </c>
      <c r="D9" s="94">
        <v>27181</v>
      </c>
      <c r="E9" s="96">
        <v>16410</v>
      </c>
      <c r="F9" s="126">
        <v>8150</v>
      </c>
      <c r="G9" s="48">
        <v>2355</v>
      </c>
      <c r="H9" s="97">
        <v>10345</v>
      </c>
      <c r="I9" s="98">
        <v>1465</v>
      </c>
      <c r="J9" s="99">
        <v>0</v>
      </c>
      <c r="K9" s="100">
        <v>14108</v>
      </c>
      <c r="L9" s="101">
        <v>2475</v>
      </c>
      <c r="M9" s="403">
        <v>17688</v>
      </c>
      <c r="N9" s="60"/>
      <c r="O9" s="106"/>
      <c r="P9" s="121">
        <v>3275</v>
      </c>
      <c r="Q9" s="105"/>
      <c r="R9" s="89">
        <v>3000</v>
      </c>
      <c r="S9" s="90"/>
      <c r="T9" s="90">
        <v>1450</v>
      </c>
    </row>
    <row r="10" spans="1:24">
      <c r="A10" s="42" t="s">
        <v>101</v>
      </c>
      <c r="B10" s="42" t="s">
        <v>222</v>
      </c>
      <c r="C10" s="41">
        <v>160</v>
      </c>
      <c r="D10" s="94">
        <v>197567</v>
      </c>
      <c r="E10" s="96">
        <v>114929</v>
      </c>
      <c r="F10" s="126">
        <v>80543</v>
      </c>
      <c r="G10" s="48">
        <v>15262</v>
      </c>
      <c r="H10" s="97">
        <v>102238</v>
      </c>
      <c r="I10" s="98">
        <v>3177</v>
      </c>
      <c r="J10" s="99">
        <v>48391</v>
      </c>
      <c r="K10" s="100">
        <v>16719</v>
      </c>
      <c r="L10" s="101">
        <v>15510</v>
      </c>
      <c r="M10" s="403">
        <v>70617</v>
      </c>
      <c r="N10" s="60"/>
      <c r="O10" s="106"/>
      <c r="P10" s="121">
        <v>13112</v>
      </c>
      <c r="Q10" s="105"/>
      <c r="R10" s="89">
        <v>4925</v>
      </c>
      <c r="S10" s="90"/>
      <c r="T10" s="90">
        <v>13896</v>
      </c>
    </row>
    <row r="11" spans="1:24">
      <c r="A11" s="40" t="s">
        <v>102</v>
      </c>
      <c r="B11" s="40" t="s">
        <v>222</v>
      </c>
      <c r="C11" s="41">
        <v>170</v>
      </c>
      <c r="D11" s="94">
        <v>26854</v>
      </c>
      <c r="E11" s="96">
        <v>17254</v>
      </c>
      <c r="F11" s="126">
        <v>7018</v>
      </c>
      <c r="G11" s="48">
        <v>2476</v>
      </c>
      <c r="H11" s="97">
        <v>9694</v>
      </c>
      <c r="I11" s="98">
        <v>1264</v>
      </c>
      <c r="J11" s="99">
        <v>0</v>
      </c>
      <c r="K11" s="100">
        <v>14108</v>
      </c>
      <c r="L11" s="101">
        <v>2475</v>
      </c>
      <c r="M11" s="403">
        <v>19844</v>
      </c>
      <c r="N11" s="60"/>
      <c r="O11" s="106"/>
      <c r="P11" s="121">
        <v>3275</v>
      </c>
      <c r="Q11" s="105"/>
      <c r="R11" s="89">
        <v>3000</v>
      </c>
      <c r="S11" s="90"/>
      <c r="T11" s="90">
        <v>0</v>
      </c>
    </row>
    <row r="12" spans="1:24">
      <c r="A12" s="40" t="s">
        <v>103</v>
      </c>
      <c r="B12" s="40" t="s">
        <v>222</v>
      </c>
      <c r="C12" s="41">
        <v>180</v>
      </c>
      <c r="D12" s="94">
        <v>0</v>
      </c>
      <c r="E12" s="96">
        <v>0</v>
      </c>
      <c r="F12" s="126">
        <v>0</v>
      </c>
      <c r="G12" s="48">
        <v>0</v>
      </c>
      <c r="H12" s="97">
        <v>0</v>
      </c>
      <c r="I12" s="98">
        <v>0</v>
      </c>
      <c r="J12" s="99">
        <v>0</v>
      </c>
      <c r="K12" s="100">
        <v>0</v>
      </c>
      <c r="L12" s="101">
        <v>2475</v>
      </c>
      <c r="M12" s="403">
        <v>0</v>
      </c>
      <c r="N12" s="60"/>
      <c r="O12" s="106"/>
      <c r="P12" s="121">
        <v>0</v>
      </c>
      <c r="Q12" s="105"/>
      <c r="R12" s="89">
        <v>0</v>
      </c>
      <c r="S12" s="90"/>
      <c r="T12" s="90">
        <v>0</v>
      </c>
      <c r="U12" s="73" t="s">
        <v>224</v>
      </c>
    </row>
    <row r="13" spans="1:24">
      <c r="A13" s="42" t="s">
        <v>104</v>
      </c>
      <c r="B13" s="42" t="s">
        <v>222</v>
      </c>
      <c r="C13" s="41">
        <v>190</v>
      </c>
      <c r="D13" s="94">
        <v>39980</v>
      </c>
      <c r="E13" s="96">
        <v>13197</v>
      </c>
      <c r="F13" s="126">
        <v>13588</v>
      </c>
      <c r="G13" s="48">
        <v>1753</v>
      </c>
      <c r="H13" s="97">
        <v>17248</v>
      </c>
      <c r="I13" s="98">
        <v>1224</v>
      </c>
      <c r="J13" s="99">
        <v>0</v>
      </c>
      <c r="K13" s="100">
        <v>14108</v>
      </c>
      <c r="L13" s="101">
        <v>2525</v>
      </c>
      <c r="M13" s="403">
        <v>17418</v>
      </c>
      <c r="N13" s="60"/>
      <c r="O13" s="106"/>
      <c r="P13" s="121">
        <v>3302</v>
      </c>
      <c r="Q13" s="105"/>
      <c r="R13" s="89">
        <v>3075</v>
      </c>
      <c r="S13" s="90"/>
      <c r="T13" s="90">
        <v>2418</v>
      </c>
      <c r="U13" s="73" t="s">
        <v>225</v>
      </c>
    </row>
    <row r="14" spans="1:24">
      <c r="A14" s="40" t="s">
        <v>105</v>
      </c>
      <c r="B14" s="40" t="s">
        <v>222</v>
      </c>
      <c r="C14" s="41">
        <v>200</v>
      </c>
      <c r="D14" s="94">
        <v>62765</v>
      </c>
      <c r="E14" s="96">
        <v>41320</v>
      </c>
      <c r="F14" s="126">
        <v>23269</v>
      </c>
      <c r="G14" s="48">
        <v>5487</v>
      </c>
      <c r="H14" s="97">
        <v>29536</v>
      </c>
      <c r="I14" s="98">
        <v>2072</v>
      </c>
      <c r="J14" s="99">
        <v>13980</v>
      </c>
      <c r="K14" s="100">
        <v>14108</v>
      </c>
      <c r="L14" s="101">
        <v>5990</v>
      </c>
      <c r="M14" s="403">
        <v>30178</v>
      </c>
      <c r="N14" s="60"/>
      <c r="O14" s="106"/>
      <c r="P14" s="121">
        <v>6065</v>
      </c>
      <c r="Q14" s="105"/>
      <c r="R14" s="89">
        <v>4308</v>
      </c>
      <c r="S14" s="90"/>
      <c r="T14" s="90">
        <v>4129</v>
      </c>
    </row>
    <row r="15" spans="1:24">
      <c r="A15" s="40" t="s">
        <v>106</v>
      </c>
      <c r="B15" s="40" t="s">
        <v>222</v>
      </c>
      <c r="C15" s="41">
        <v>210</v>
      </c>
      <c r="D15" s="94">
        <v>40333</v>
      </c>
      <c r="E15" s="96">
        <v>33943</v>
      </c>
      <c r="F15" s="126">
        <v>13739</v>
      </c>
      <c r="G15" s="48">
        <v>4507</v>
      </c>
      <c r="H15" s="97">
        <v>17438</v>
      </c>
      <c r="I15" s="98">
        <v>2103</v>
      </c>
      <c r="J15" s="99">
        <v>8254</v>
      </c>
      <c r="K15" s="100">
        <v>14108</v>
      </c>
      <c r="L15" s="101">
        <v>4705</v>
      </c>
      <c r="M15" s="403">
        <v>31556</v>
      </c>
      <c r="N15" s="60"/>
      <c r="O15" s="106"/>
      <c r="P15" s="121">
        <v>5433</v>
      </c>
      <c r="Q15" s="105"/>
      <c r="R15" s="89">
        <v>4463</v>
      </c>
      <c r="S15" s="90"/>
      <c r="T15" s="90">
        <v>2103</v>
      </c>
    </row>
    <row r="16" spans="1:24">
      <c r="A16" s="40" t="s">
        <v>107</v>
      </c>
      <c r="B16" s="40" t="s">
        <v>222</v>
      </c>
      <c r="C16" s="41">
        <v>220</v>
      </c>
      <c r="D16" s="94">
        <v>53411</v>
      </c>
      <c r="E16" s="96">
        <v>36262</v>
      </c>
      <c r="F16" s="126">
        <v>19295</v>
      </c>
      <c r="G16" s="48">
        <v>4816</v>
      </c>
      <c r="H16" s="97">
        <v>24492</v>
      </c>
      <c r="I16" s="98">
        <v>1848</v>
      </c>
      <c r="J16" s="99">
        <v>0</v>
      </c>
      <c r="K16" s="100">
        <v>14108</v>
      </c>
      <c r="L16" s="101">
        <v>5144</v>
      </c>
      <c r="M16" s="403">
        <v>16262</v>
      </c>
      <c r="N16" s="60"/>
      <c r="O16" s="106"/>
      <c r="P16" s="121">
        <v>5221</v>
      </c>
      <c r="Q16" s="105"/>
      <c r="R16" s="89">
        <v>3075</v>
      </c>
      <c r="S16" s="90"/>
      <c r="T16" s="90">
        <v>3779</v>
      </c>
    </row>
    <row r="17" spans="1:20">
      <c r="A17" s="40" t="s">
        <v>108</v>
      </c>
      <c r="B17" s="40" t="s">
        <v>222</v>
      </c>
      <c r="C17" s="41">
        <v>230</v>
      </c>
      <c r="D17" s="94">
        <v>29146</v>
      </c>
      <c r="E17" s="96">
        <v>19001</v>
      </c>
      <c r="F17" s="126">
        <v>8985</v>
      </c>
      <c r="G17" s="48">
        <v>2652</v>
      </c>
      <c r="H17" s="97">
        <v>12632</v>
      </c>
      <c r="I17" s="98">
        <v>1388</v>
      </c>
      <c r="J17" s="99">
        <v>5399</v>
      </c>
      <c r="K17" s="100">
        <v>14108</v>
      </c>
      <c r="L17" s="101">
        <v>2475</v>
      </c>
      <c r="M17" s="403">
        <v>19713</v>
      </c>
      <c r="N17" s="60"/>
      <c r="O17" s="106"/>
      <c r="P17" s="121">
        <v>3275</v>
      </c>
      <c r="Q17" s="105"/>
      <c r="R17" s="89">
        <v>5542</v>
      </c>
      <c r="S17" s="90"/>
      <c r="T17" s="90">
        <v>1351</v>
      </c>
    </row>
    <row r="18" spans="1:20">
      <c r="A18" s="40" t="s">
        <v>109</v>
      </c>
      <c r="B18" s="40" t="s">
        <v>222</v>
      </c>
      <c r="C18" s="41">
        <v>250</v>
      </c>
      <c r="D18" s="94">
        <v>82380</v>
      </c>
      <c r="E18" s="96">
        <v>42267</v>
      </c>
      <c r="F18" s="126">
        <v>31604</v>
      </c>
      <c r="G18" s="48">
        <v>5613</v>
      </c>
      <c r="H18" s="97">
        <v>40115</v>
      </c>
      <c r="I18" s="98">
        <v>2276</v>
      </c>
      <c r="J18" s="99">
        <v>0</v>
      </c>
      <c r="K18" s="100">
        <v>14108</v>
      </c>
      <c r="L18" s="101">
        <v>8050</v>
      </c>
      <c r="M18" s="403">
        <v>26425</v>
      </c>
      <c r="N18" s="60"/>
      <c r="O18" s="106"/>
      <c r="P18" s="121">
        <v>7257</v>
      </c>
      <c r="Q18" s="105"/>
      <c r="R18" s="89">
        <v>3000</v>
      </c>
      <c r="S18" s="90"/>
      <c r="T18" s="90">
        <v>5408</v>
      </c>
    </row>
    <row r="19" spans="1:20">
      <c r="A19" s="42" t="s">
        <v>110</v>
      </c>
      <c r="B19" s="42" t="s">
        <v>222</v>
      </c>
      <c r="C19" s="41">
        <v>260</v>
      </c>
      <c r="D19" s="94">
        <v>45766</v>
      </c>
      <c r="E19" s="96">
        <v>16175</v>
      </c>
      <c r="F19" s="126">
        <v>16046</v>
      </c>
      <c r="G19" s="48">
        <v>2148</v>
      </c>
      <c r="H19" s="97">
        <v>21747</v>
      </c>
      <c r="I19" s="98">
        <v>1490</v>
      </c>
      <c r="J19" s="99">
        <v>9641</v>
      </c>
      <c r="K19" s="100">
        <v>14108</v>
      </c>
      <c r="L19" s="101">
        <v>3357</v>
      </c>
      <c r="M19" s="403">
        <v>21598</v>
      </c>
      <c r="N19" s="60"/>
      <c r="O19" s="106"/>
      <c r="P19" s="121">
        <v>3275</v>
      </c>
      <c r="Q19" s="105"/>
      <c r="R19" s="89">
        <v>3000</v>
      </c>
      <c r="S19" s="90"/>
      <c r="T19" s="90">
        <v>2880</v>
      </c>
    </row>
    <row r="20" spans="1:20">
      <c r="A20" s="40" t="s">
        <v>111</v>
      </c>
      <c r="B20" s="40" t="s">
        <v>222</v>
      </c>
      <c r="C20" s="41">
        <v>270</v>
      </c>
      <c r="D20" s="94">
        <v>51842</v>
      </c>
      <c r="E20" s="96">
        <v>32562</v>
      </c>
      <c r="F20" s="126">
        <v>18628</v>
      </c>
      <c r="G20" s="48">
        <v>4324</v>
      </c>
      <c r="H20" s="97">
        <v>23646</v>
      </c>
      <c r="I20" s="98">
        <v>1931</v>
      </c>
      <c r="J20" s="99">
        <v>0</v>
      </c>
      <c r="K20" s="100">
        <v>14108</v>
      </c>
      <c r="L20" s="101">
        <v>5062</v>
      </c>
      <c r="M20" s="403">
        <v>30701</v>
      </c>
      <c r="N20" s="60"/>
      <c r="O20" s="106"/>
      <c r="P20" s="121">
        <v>3275</v>
      </c>
      <c r="Q20" s="105"/>
      <c r="R20" s="89">
        <v>3000</v>
      </c>
      <c r="S20" s="90"/>
      <c r="T20" s="90">
        <v>3092</v>
      </c>
    </row>
    <row r="21" spans="1:20">
      <c r="A21" s="40" t="s">
        <v>112</v>
      </c>
      <c r="B21" s="40"/>
      <c r="C21" s="41">
        <v>280</v>
      </c>
      <c r="D21" s="94">
        <v>40343</v>
      </c>
      <c r="E21" s="96">
        <v>22367</v>
      </c>
      <c r="F21" s="126">
        <v>13742</v>
      </c>
      <c r="G21" s="48">
        <v>2970</v>
      </c>
      <c r="H21" s="97">
        <v>17443</v>
      </c>
      <c r="I21" s="98">
        <v>1601</v>
      </c>
      <c r="J21" s="99">
        <v>8256</v>
      </c>
      <c r="K21" s="100">
        <v>14108</v>
      </c>
      <c r="L21" s="101">
        <v>3702</v>
      </c>
      <c r="M21" s="403">
        <v>19273</v>
      </c>
      <c r="N21" s="60"/>
      <c r="O21" s="106"/>
      <c r="P21" s="121">
        <v>3275</v>
      </c>
      <c r="Q21" s="105"/>
      <c r="R21" s="89">
        <v>3000</v>
      </c>
      <c r="S21" s="90"/>
      <c r="T21" s="90">
        <v>2862</v>
      </c>
    </row>
    <row r="22" spans="1:20">
      <c r="A22" s="40" t="s">
        <v>113</v>
      </c>
      <c r="B22" s="40" t="s">
        <v>222</v>
      </c>
      <c r="C22" s="41">
        <v>290</v>
      </c>
      <c r="D22" s="94">
        <v>86532</v>
      </c>
      <c r="E22" s="96">
        <v>40421</v>
      </c>
      <c r="F22" s="126">
        <v>33367</v>
      </c>
      <c r="G22" s="48">
        <v>5368</v>
      </c>
      <c r="H22" s="97">
        <v>42355</v>
      </c>
      <c r="I22" s="98">
        <v>2284</v>
      </c>
      <c r="J22" s="99">
        <v>20048</v>
      </c>
      <c r="K22" s="100">
        <v>14108</v>
      </c>
      <c r="L22" s="101">
        <v>7751</v>
      </c>
      <c r="M22" s="403">
        <v>40427</v>
      </c>
      <c r="N22" s="60"/>
      <c r="O22" s="106"/>
      <c r="P22" s="121">
        <v>5840</v>
      </c>
      <c r="Q22" s="105"/>
      <c r="R22" s="89">
        <v>4308</v>
      </c>
      <c r="S22" s="90"/>
      <c r="T22" s="90">
        <v>6031</v>
      </c>
    </row>
    <row r="23" spans="1:20">
      <c r="A23" s="40" t="s">
        <v>114</v>
      </c>
      <c r="B23" s="40" t="s">
        <v>222</v>
      </c>
      <c r="C23" s="41">
        <v>300</v>
      </c>
      <c r="D23" s="94">
        <v>14219</v>
      </c>
      <c r="E23" s="96">
        <v>9600</v>
      </c>
      <c r="F23" s="126">
        <v>3000</v>
      </c>
      <c r="G23" s="48">
        <v>1376</v>
      </c>
      <c r="H23" s="97">
        <v>5500</v>
      </c>
      <c r="I23" s="98">
        <v>1018</v>
      </c>
      <c r="J23" s="99">
        <v>2500</v>
      </c>
      <c r="K23" s="100">
        <v>14108</v>
      </c>
      <c r="L23" s="101">
        <v>2475</v>
      </c>
      <c r="M23" s="403">
        <v>6402</v>
      </c>
      <c r="N23" s="60"/>
      <c r="O23" s="106"/>
      <c r="P23" s="121">
        <v>3275</v>
      </c>
      <c r="Q23" s="105"/>
      <c r="R23" s="89">
        <v>4308</v>
      </c>
      <c r="S23" s="90"/>
      <c r="T23" s="90">
        <v>0</v>
      </c>
    </row>
    <row r="24" spans="1:20">
      <c r="A24" s="42" t="s">
        <v>115</v>
      </c>
      <c r="B24" s="42"/>
      <c r="C24" s="41">
        <v>310</v>
      </c>
      <c r="D24" s="94">
        <v>94396</v>
      </c>
      <c r="E24" s="96">
        <v>52127</v>
      </c>
      <c r="F24" s="126">
        <v>36709</v>
      </c>
      <c r="G24" s="48">
        <v>6922</v>
      </c>
      <c r="H24" s="97">
        <v>46596</v>
      </c>
      <c r="I24" s="98">
        <v>2687</v>
      </c>
      <c r="J24" s="99">
        <v>22055</v>
      </c>
      <c r="K24" s="100">
        <v>14108</v>
      </c>
      <c r="L24" s="101">
        <v>9094</v>
      </c>
      <c r="M24" s="403">
        <v>32984</v>
      </c>
      <c r="N24" s="60"/>
      <c r="O24" s="106"/>
      <c r="P24" s="121">
        <v>8960</v>
      </c>
      <c r="Q24" s="105"/>
      <c r="R24" s="89">
        <v>3075</v>
      </c>
      <c r="S24" s="90"/>
      <c r="T24" s="90">
        <v>6638</v>
      </c>
    </row>
    <row r="25" spans="1:20">
      <c r="A25" s="40" t="s">
        <v>116</v>
      </c>
      <c r="B25" s="40" t="s">
        <v>222</v>
      </c>
      <c r="C25" s="41">
        <v>330</v>
      </c>
      <c r="D25" s="94">
        <v>19972</v>
      </c>
      <c r="E25" s="96">
        <v>15402</v>
      </c>
      <c r="F25" s="126">
        <v>5087</v>
      </c>
      <c r="G25" s="48">
        <v>2045</v>
      </c>
      <c r="H25" s="97">
        <v>6456</v>
      </c>
      <c r="I25" s="98">
        <v>1135</v>
      </c>
      <c r="J25" s="99">
        <v>3056</v>
      </c>
      <c r="K25" s="100">
        <v>14108</v>
      </c>
      <c r="L25" s="101">
        <v>2475</v>
      </c>
      <c r="M25" s="403">
        <v>9124</v>
      </c>
      <c r="N25" s="60"/>
      <c r="O25" s="106"/>
      <c r="P25" s="121">
        <v>3275</v>
      </c>
      <c r="Q25" s="105"/>
      <c r="R25" s="89">
        <v>4000</v>
      </c>
      <c r="S25" s="90"/>
      <c r="T25" s="90">
        <v>825</v>
      </c>
    </row>
    <row r="26" spans="1:20">
      <c r="A26" s="40" t="s">
        <v>117</v>
      </c>
      <c r="B26" s="40" t="s">
        <v>222</v>
      </c>
      <c r="C26" s="41">
        <v>340</v>
      </c>
      <c r="D26" s="94">
        <v>53768</v>
      </c>
      <c r="E26" s="96">
        <v>40863</v>
      </c>
      <c r="F26" s="126">
        <v>19445</v>
      </c>
      <c r="G26" s="48">
        <v>5868</v>
      </c>
      <c r="H26" s="97">
        <v>24684</v>
      </c>
      <c r="I26" s="98">
        <v>2426</v>
      </c>
      <c r="J26" s="99">
        <v>0</v>
      </c>
      <c r="K26" s="100">
        <v>14108</v>
      </c>
      <c r="L26" s="101">
        <v>6569</v>
      </c>
      <c r="M26" s="403">
        <v>41044</v>
      </c>
      <c r="N26" s="60"/>
      <c r="O26" s="106"/>
      <c r="P26" s="121">
        <v>5967</v>
      </c>
      <c r="Q26" s="105"/>
      <c r="R26" s="89">
        <v>4734</v>
      </c>
      <c r="S26" s="90"/>
      <c r="T26" s="90">
        <v>3317</v>
      </c>
    </row>
    <row r="27" spans="1:20" ht="15.75" customHeight="1">
      <c r="A27" s="40" t="s">
        <v>118</v>
      </c>
      <c r="B27" s="40" t="s">
        <v>222</v>
      </c>
      <c r="C27" s="41">
        <v>350</v>
      </c>
      <c r="D27" s="94">
        <v>39730</v>
      </c>
      <c r="E27" s="96">
        <v>26248</v>
      </c>
      <c r="F27" s="126">
        <v>13482</v>
      </c>
      <c r="G27" s="48">
        <v>3485</v>
      </c>
      <c r="H27" s="97">
        <v>18539</v>
      </c>
      <c r="I27" s="98">
        <v>1635</v>
      </c>
      <c r="J27" s="99">
        <v>0</v>
      </c>
      <c r="K27" s="100">
        <v>14108</v>
      </c>
      <c r="L27" s="101">
        <v>3135</v>
      </c>
      <c r="M27" s="403">
        <v>18259</v>
      </c>
      <c r="N27" s="60"/>
      <c r="O27" s="106"/>
      <c r="P27" s="121">
        <v>4355</v>
      </c>
      <c r="Q27" s="105"/>
      <c r="R27" s="89">
        <v>4432</v>
      </c>
      <c r="S27" s="90"/>
      <c r="T27" s="90">
        <v>2417</v>
      </c>
    </row>
    <row r="28" spans="1:20">
      <c r="A28" s="42" t="s">
        <v>119</v>
      </c>
      <c r="B28" s="42"/>
      <c r="C28" s="41">
        <v>360</v>
      </c>
      <c r="D28" s="94">
        <v>27615</v>
      </c>
      <c r="E28" s="96">
        <v>18124</v>
      </c>
      <c r="F28" s="126">
        <v>8335</v>
      </c>
      <c r="G28" s="48">
        <v>2407</v>
      </c>
      <c r="H28" s="97">
        <v>10580</v>
      </c>
      <c r="I28" s="98">
        <v>1434</v>
      </c>
      <c r="J28" s="99">
        <v>0</v>
      </c>
      <c r="K28" s="100">
        <v>14108</v>
      </c>
      <c r="L28" s="101">
        <v>2714</v>
      </c>
      <c r="M28" s="403">
        <v>13171</v>
      </c>
      <c r="N28" s="60"/>
      <c r="O28" s="106"/>
      <c r="P28" s="121">
        <v>3275</v>
      </c>
      <c r="Q28" s="105"/>
      <c r="R28" s="89">
        <v>3075</v>
      </c>
      <c r="S28" s="90"/>
      <c r="T28" s="90">
        <v>1542</v>
      </c>
    </row>
    <row r="29" spans="1:20">
      <c r="A29" s="149" t="s">
        <v>174</v>
      </c>
      <c r="B29" s="40" t="s">
        <v>222</v>
      </c>
      <c r="C29" s="41">
        <v>370</v>
      </c>
      <c r="D29" s="94">
        <v>26584</v>
      </c>
      <c r="E29" s="96">
        <v>4425</v>
      </c>
      <c r="F29" s="150">
        <v>12077</v>
      </c>
      <c r="G29" s="48">
        <v>1342</v>
      </c>
      <c r="H29" s="97">
        <v>0</v>
      </c>
      <c r="I29" s="98">
        <v>506</v>
      </c>
      <c r="J29" s="99">
        <v>2843</v>
      </c>
      <c r="K29" s="100">
        <v>5000</v>
      </c>
      <c r="L29" s="101">
        <v>0</v>
      </c>
      <c r="M29" s="403">
        <v>8038</v>
      </c>
      <c r="N29" s="60"/>
      <c r="O29" s="106"/>
      <c r="P29" s="121">
        <v>1000</v>
      </c>
      <c r="Q29" s="105"/>
      <c r="R29" s="89">
        <v>3000</v>
      </c>
      <c r="S29" s="90"/>
      <c r="T29" s="90">
        <v>0</v>
      </c>
    </row>
    <row r="30" spans="1:20">
      <c r="A30" s="40" t="s">
        <v>120</v>
      </c>
      <c r="B30" s="40" t="s">
        <v>222</v>
      </c>
      <c r="C30" s="41">
        <v>380</v>
      </c>
      <c r="D30" s="94">
        <v>29555</v>
      </c>
      <c r="E30" s="96">
        <v>0</v>
      </c>
      <c r="F30" s="126">
        <v>0</v>
      </c>
      <c r="G30" s="48">
        <v>2525</v>
      </c>
      <c r="H30" s="97">
        <v>11626</v>
      </c>
      <c r="I30" s="98">
        <v>1388</v>
      </c>
      <c r="J30" s="99">
        <v>0</v>
      </c>
      <c r="K30" s="100">
        <v>14108</v>
      </c>
      <c r="L30" s="101">
        <v>2475</v>
      </c>
      <c r="M30" s="403">
        <v>0</v>
      </c>
      <c r="N30" s="60"/>
      <c r="O30" s="106"/>
      <c r="P30" s="121">
        <v>3275</v>
      </c>
      <c r="Q30" s="105"/>
      <c r="R30" s="89">
        <v>6159</v>
      </c>
      <c r="S30" s="90"/>
      <c r="T30" s="90">
        <v>1557</v>
      </c>
    </row>
    <row r="31" spans="1:20">
      <c r="A31" s="40" t="s">
        <v>121</v>
      </c>
      <c r="B31" s="40"/>
      <c r="C31" s="41">
        <v>390</v>
      </c>
      <c r="D31" s="94">
        <v>16402</v>
      </c>
      <c r="E31" s="96">
        <v>11218</v>
      </c>
      <c r="F31" s="126">
        <v>3570</v>
      </c>
      <c r="G31" s="48">
        <v>1489</v>
      </c>
      <c r="H31" s="97">
        <v>5000</v>
      </c>
      <c r="I31" s="98">
        <v>1175</v>
      </c>
      <c r="J31" s="99">
        <v>0</v>
      </c>
      <c r="K31" s="100">
        <v>14108</v>
      </c>
      <c r="L31" s="101">
        <v>2475</v>
      </c>
      <c r="M31" s="403">
        <v>21807</v>
      </c>
      <c r="N31" s="60"/>
      <c r="O31" s="106"/>
      <c r="P31" s="121">
        <v>3275</v>
      </c>
      <c r="Q31" s="105"/>
      <c r="R31" s="89">
        <v>3000</v>
      </c>
      <c r="S31" s="90"/>
      <c r="T31" s="90">
        <v>633</v>
      </c>
    </row>
    <row r="32" spans="1:20">
      <c r="A32" s="40" t="s">
        <v>122</v>
      </c>
      <c r="B32" s="40" t="s">
        <v>222</v>
      </c>
      <c r="C32" s="41">
        <v>400</v>
      </c>
      <c r="D32" s="94">
        <v>27815</v>
      </c>
      <c r="E32" s="96">
        <v>19591</v>
      </c>
      <c r="F32" s="126">
        <v>8420</v>
      </c>
      <c r="G32" s="48">
        <v>2602</v>
      </c>
      <c r="H32" s="97">
        <v>11621</v>
      </c>
      <c r="I32" s="98">
        <v>1454</v>
      </c>
      <c r="J32" s="99">
        <v>0</v>
      </c>
      <c r="K32" s="100">
        <v>14108</v>
      </c>
      <c r="L32" s="101">
        <v>2510</v>
      </c>
      <c r="M32" s="403">
        <v>17962</v>
      </c>
      <c r="N32" s="60"/>
      <c r="O32" s="106"/>
      <c r="P32" s="121">
        <v>3275</v>
      </c>
      <c r="Q32" s="105"/>
      <c r="R32" s="89">
        <v>3000</v>
      </c>
      <c r="S32" s="90"/>
      <c r="T32" s="90">
        <v>1387</v>
      </c>
    </row>
    <row r="33" spans="1:21">
      <c r="A33" s="40" t="s">
        <v>123</v>
      </c>
      <c r="B33" s="40" t="s">
        <v>222</v>
      </c>
      <c r="C33" s="41">
        <v>410</v>
      </c>
      <c r="D33" s="94">
        <v>76434</v>
      </c>
      <c r="E33" s="96">
        <v>39101</v>
      </c>
      <c r="F33" s="126">
        <v>28599</v>
      </c>
      <c r="G33" s="48">
        <v>5618</v>
      </c>
      <c r="H33" s="97">
        <v>36302</v>
      </c>
      <c r="I33" s="98">
        <v>1997</v>
      </c>
      <c r="J33" s="99">
        <v>0</v>
      </c>
      <c r="K33" s="100">
        <v>14108</v>
      </c>
      <c r="L33" s="101">
        <v>6256</v>
      </c>
      <c r="M33" s="403">
        <v>15467</v>
      </c>
      <c r="N33" s="60"/>
      <c r="O33" s="106"/>
      <c r="P33" s="121">
        <v>6102</v>
      </c>
      <c r="Q33" s="105"/>
      <c r="R33" s="89">
        <v>7741</v>
      </c>
      <c r="S33" s="90"/>
      <c r="T33" s="90">
        <v>5091</v>
      </c>
    </row>
    <row r="34" spans="1:21">
      <c r="A34" s="57" t="s">
        <v>175</v>
      </c>
      <c r="B34" s="40"/>
      <c r="C34" s="41"/>
      <c r="D34" s="94">
        <v>0</v>
      </c>
      <c r="E34" s="96">
        <v>0</v>
      </c>
      <c r="F34" s="126">
        <v>0</v>
      </c>
      <c r="G34" s="48">
        <v>0</v>
      </c>
      <c r="H34" s="97">
        <v>0</v>
      </c>
      <c r="I34" s="98">
        <v>0</v>
      </c>
      <c r="J34" s="99">
        <v>0</v>
      </c>
      <c r="K34" s="100">
        <v>0</v>
      </c>
      <c r="L34" s="101">
        <v>0</v>
      </c>
      <c r="M34" s="403">
        <v>0</v>
      </c>
      <c r="N34" s="60"/>
      <c r="O34" s="106"/>
      <c r="P34" s="121">
        <v>0</v>
      </c>
      <c r="Q34" s="105"/>
      <c r="R34" s="89">
        <v>0</v>
      </c>
      <c r="S34" s="90"/>
      <c r="T34" s="90">
        <v>0</v>
      </c>
      <c r="U34" s="73" t="s">
        <v>226</v>
      </c>
    </row>
    <row r="35" spans="1:21">
      <c r="A35" s="40" t="s">
        <v>124</v>
      </c>
      <c r="B35" s="40" t="s">
        <v>222</v>
      </c>
      <c r="C35" s="41">
        <v>420</v>
      </c>
      <c r="D35" s="94">
        <v>39945</v>
      </c>
      <c r="E35" s="96">
        <v>24910</v>
      </c>
      <c r="F35" s="126">
        <v>13322</v>
      </c>
      <c r="G35" s="48">
        <v>3308</v>
      </c>
      <c r="H35" s="97">
        <v>18304</v>
      </c>
      <c r="I35" s="98">
        <v>1513</v>
      </c>
      <c r="J35" s="99">
        <v>8004</v>
      </c>
      <c r="K35" s="100">
        <v>14108</v>
      </c>
      <c r="L35" s="101">
        <v>3521</v>
      </c>
      <c r="M35" s="403">
        <v>24455</v>
      </c>
      <c r="N35" s="60"/>
      <c r="O35" s="106"/>
      <c r="P35" s="121">
        <v>3275</v>
      </c>
      <c r="Q35" s="105"/>
      <c r="R35" s="89">
        <v>3000</v>
      </c>
      <c r="S35" s="90"/>
      <c r="T35" s="90">
        <v>2026</v>
      </c>
    </row>
    <row r="36" spans="1:21">
      <c r="A36" s="40" t="s">
        <v>125</v>
      </c>
      <c r="B36" s="40" t="s">
        <v>222</v>
      </c>
      <c r="C36" s="41">
        <v>430</v>
      </c>
      <c r="D36" s="94">
        <v>137698</v>
      </c>
      <c r="E36" s="96">
        <v>96548</v>
      </c>
      <c r="F36" s="126">
        <v>52833</v>
      </c>
      <c r="G36" s="48">
        <v>12821</v>
      </c>
      <c r="H36" s="97">
        <v>67064</v>
      </c>
      <c r="I36" s="98">
        <v>2347</v>
      </c>
      <c r="J36" s="99">
        <v>31742</v>
      </c>
      <c r="K36" s="100">
        <v>16719</v>
      </c>
      <c r="L36" s="101">
        <v>11751</v>
      </c>
      <c r="M36" s="403">
        <v>41880</v>
      </c>
      <c r="N36" s="60"/>
      <c r="O36" s="106"/>
      <c r="P36" s="121">
        <v>7360</v>
      </c>
      <c r="Q36" s="105"/>
      <c r="R36" s="89">
        <v>6344</v>
      </c>
      <c r="S36" s="90"/>
      <c r="T36" s="90">
        <v>8830</v>
      </c>
    </row>
    <row r="37" spans="1:21">
      <c r="A37" s="42" t="s">
        <v>126</v>
      </c>
      <c r="B37" s="42" t="s">
        <v>222</v>
      </c>
      <c r="C37" s="41">
        <v>440</v>
      </c>
      <c r="D37" s="94">
        <v>0</v>
      </c>
      <c r="E37" s="96">
        <v>0</v>
      </c>
      <c r="F37" s="126">
        <v>0</v>
      </c>
      <c r="G37" s="48">
        <v>0</v>
      </c>
      <c r="H37" s="97">
        <v>0</v>
      </c>
      <c r="I37" s="98">
        <v>0</v>
      </c>
      <c r="J37" s="99">
        <v>0</v>
      </c>
      <c r="K37" s="100">
        <v>0</v>
      </c>
      <c r="L37" s="101">
        <v>2475</v>
      </c>
      <c r="M37" s="403">
        <v>0</v>
      </c>
      <c r="N37" s="60"/>
      <c r="O37" s="106"/>
      <c r="P37" s="121">
        <v>0</v>
      </c>
      <c r="Q37" s="105"/>
      <c r="R37" s="89"/>
      <c r="S37" s="90"/>
      <c r="T37" s="90">
        <v>0</v>
      </c>
      <c r="U37" s="73" t="s">
        <v>227</v>
      </c>
    </row>
    <row r="38" spans="1:21">
      <c r="A38" s="40" t="s">
        <v>127</v>
      </c>
      <c r="B38" s="40" t="s">
        <v>222</v>
      </c>
      <c r="C38" s="41">
        <v>450</v>
      </c>
      <c r="D38" s="94">
        <v>99320</v>
      </c>
      <c r="E38" s="96">
        <v>57980</v>
      </c>
      <c r="F38" s="126">
        <v>38800</v>
      </c>
      <c r="G38" s="48">
        <v>7700</v>
      </c>
      <c r="H38" s="97">
        <v>49250</v>
      </c>
      <c r="I38" s="98">
        <v>2486</v>
      </c>
      <c r="J38" s="99">
        <v>0</v>
      </c>
      <c r="K38" s="100">
        <v>14108</v>
      </c>
      <c r="L38" s="101">
        <v>9647</v>
      </c>
      <c r="M38" s="403">
        <v>56189</v>
      </c>
      <c r="N38" s="60"/>
      <c r="O38" s="106"/>
      <c r="P38" s="121">
        <v>7780</v>
      </c>
      <c r="Q38" s="105"/>
      <c r="R38" s="89">
        <v>6067</v>
      </c>
      <c r="S38" s="90"/>
      <c r="T38" s="90">
        <v>6890</v>
      </c>
    </row>
    <row r="39" spans="1:21">
      <c r="A39" s="149" t="s">
        <v>176</v>
      </c>
      <c r="B39" s="40" t="s">
        <v>222</v>
      </c>
      <c r="C39" s="41">
        <v>480</v>
      </c>
      <c r="D39" s="94">
        <v>19075</v>
      </c>
      <c r="E39" s="96">
        <v>3269</v>
      </c>
      <c r="F39" s="150">
        <v>8665</v>
      </c>
      <c r="G39" s="48">
        <v>963</v>
      </c>
      <c r="H39" s="97">
        <v>0</v>
      </c>
      <c r="I39" s="98">
        <v>448</v>
      </c>
      <c r="J39" s="99">
        <v>2746</v>
      </c>
      <c r="K39" s="100">
        <v>0</v>
      </c>
      <c r="L39" s="101">
        <v>0</v>
      </c>
      <c r="M39" s="403">
        <v>6614</v>
      </c>
      <c r="N39" s="60"/>
      <c r="O39" s="106"/>
      <c r="P39" s="121">
        <v>0</v>
      </c>
      <c r="Q39" s="105"/>
      <c r="R39" s="89">
        <v>1655</v>
      </c>
      <c r="S39" s="90"/>
      <c r="T39" s="90">
        <v>0</v>
      </c>
    </row>
    <row r="40" spans="1:21">
      <c r="A40" s="149" t="s">
        <v>177</v>
      </c>
      <c r="B40" s="40" t="s">
        <v>222</v>
      </c>
      <c r="C40" s="41">
        <v>490</v>
      </c>
      <c r="D40" s="94">
        <v>19672</v>
      </c>
      <c r="E40" s="96">
        <v>3275</v>
      </c>
      <c r="F40" s="150">
        <v>8937</v>
      </c>
      <c r="G40" s="48">
        <v>1082</v>
      </c>
      <c r="H40" s="97">
        <v>0</v>
      </c>
      <c r="I40" s="98">
        <v>217</v>
      </c>
      <c r="J40" s="99">
        <v>2754</v>
      </c>
      <c r="K40" s="100">
        <v>0</v>
      </c>
      <c r="L40" s="101">
        <v>0</v>
      </c>
      <c r="M40" s="403">
        <v>3453</v>
      </c>
      <c r="N40" s="60"/>
      <c r="O40" s="106"/>
      <c r="P40" s="121">
        <v>0</v>
      </c>
      <c r="Q40" s="105"/>
      <c r="R40" s="89">
        <v>0</v>
      </c>
      <c r="S40" s="90"/>
      <c r="T40" s="90">
        <v>0</v>
      </c>
    </row>
    <row r="41" spans="1:21">
      <c r="A41" s="40" t="s">
        <v>128</v>
      </c>
      <c r="B41" s="40" t="s">
        <v>222</v>
      </c>
      <c r="C41" s="41">
        <v>460</v>
      </c>
      <c r="D41" s="94">
        <v>22891</v>
      </c>
      <c r="E41" s="96">
        <v>0</v>
      </c>
      <c r="F41" s="126">
        <v>0</v>
      </c>
      <c r="G41" s="48">
        <v>1899</v>
      </c>
      <c r="H41" s="97">
        <v>8032</v>
      </c>
      <c r="I41" s="98">
        <v>1350</v>
      </c>
      <c r="J41" s="99">
        <v>0</v>
      </c>
      <c r="K41" s="100">
        <v>14108</v>
      </c>
      <c r="L41" s="101">
        <v>2475</v>
      </c>
      <c r="M41" s="403">
        <v>0</v>
      </c>
      <c r="N41" s="60"/>
      <c r="O41" s="106"/>
      <c r="P41" s="121">
        <v>3275</v>
      </c>
      <c r="Q41" s="105"/>
      <c r="R41" s="89">
        <v>4432</v>
      </c>
      <c r="S41" s="90"/>
      <c r="T41" s="90">
        <v>1092</v>
      </c>
    </row>
    <row r="42" spans="1:21">
      <c r="A42" s="40" t="s">
        <v>129</v>
      </c>
      <c r="B42" s="40" t="s">
        <v>222</v>
      </c>
      <c r="C42" s="41">
        <v>470</v>
      </c>
      <c r="D42" s="94">
        <v>0</v>
      </c>
      <c r="E42" s="96">
        <v>0</v>
      </c>
      <c r="F42" s="126">
        <v>0</v>
      </c>
      <c r="G42" s="48">
        <v>0</v>
      </c>
      <c r="H42" s="97">
        <v>0</v>
      </c>
      <c r="I42" s="98">
        <v>0</v>
      </c>
      <c r="J42" s="99">
        <v>0</v>
      </c>
      <c r="K42" s="100">
        <v>0</v>
      </c>
      <c r="L42" s="101">
        <v>0</v>
      </c>
      <c r="M42" s="403">
        <v>0</v>
      </c>
      <c r="N42" s="60"/>
      <c r="O42" s="106"/>
      <c r="P42" s="121">
        <v>0</v>
      </c>
      <c r="Q42" s="105"/>
      <c r="R42" s="89"/>
      <c r="S42" s="90"/>
      <c r="T42" s="90">
        <v>0</v>
      </c>
      <c r="U42" s="73" t="s">
        <v>228</v>
      </c>
    </row>
    <row r="43" spans="1:21">
      <c r="A43" s="57" t="s">
        <v>130</v>
      </c>
      <c r="B43" s="40"/>
      <c r="C43" s="41">
        <v>933</v>
      </c>
      <c r="D43" s="94">
        <v>0</v>
      </c>
      <c r="E43" s="96">
        <v>0</v>
      </c>
      <c r="F43" s="126">
        <v>0</v>
      </c>
      <c r="G43" s="48">
        <v>0</v>
      </c>
      <c r="H43" s="97">
        <v>0</v>
      </c>
      <c r="I43" s="98">
        <v>0</v>
      </c>
      <c r="J43" s="99">
        <v>0</v>
      </c>
      <c r="K43" s="100">
        <v>0</v>
      </c>
      <c r="L43" s="101">
        <v>0</v>
      </c>
      <c r="M43" s="403">
        <v>0</v>
      </c>
      <c r="N43" s="60"/>
      <c r="O43" s="106"/>
      <c r="P43" s="121">
        <v>19767</v>
      </c>
      <c r="Q43" s="105"/>
      <c r="R43" s="89"/>
      <c r="S43" s="90"/>
      <c r="T43" s="90">
        <v>0</v>
      </c>
      <c r="U43" s="73" t="s">
        <v>229</v>
      </c>
    </row>
    <row r="44" spans="1:21">
      <c r="A44" s="40" t="s">
        <v>131</v>
      </c>
      <c r="B44" s="40" t="s">
        <v>222</v>
      </c>
      <c r="C44" s="41">
        <v>500</v>
      </c>
      <c r="D44" s="94">
        <v>0</v>
      </c>
      <c r="E44" s="96">
        <v>0</v>
      </c>
      <c r="F44" s="126">
        <v>0</v>
      </c>
      <c r="G44" s="48">
        <v>0</v>
      </c>
      <c r="H44" s="97">
        <v>0</v>
      </c>
      <c r="I44" s="98">
        <v>0</v>
      </c>
      <c r="J44" s="99">
        <v>0</v>
      </c>
      <c r="K44" s="100">
        <v>0</v>
      </c>
      <c r="L44" s="101">
        <v>0</v>
      </c>
      <c r="M44" s="403">
        <v>0</v>
      </c>
      <c r="N44" s="60"/>
      <c r="O44" s="106"/>
      <c r="P44" s="121">
        <v>0</v>
      </c>
      <c r="Q44" s="105"/>
      <c r="R44" s="89"/>
      <c r="S44" s="90"/>
      <c r="T44" s="90">
        <v>0</v>
      </c>
      <c r="U44" s="73" t="s">
        <v>228</v>
      </c>
    </row>
    <row r="45" spans="1:21">
      <c r="A45" s="42" t="s">
        <v>132</v>
      </c>
      <c r="B45" s="42" t="s">
        <v>222</v>
      </c>
      <c r="C45" s="41">
        <v>510</v>
      </c>
      <c r="D45" s="94">
        <v>113153</v>
      </c>
      <c r="E45" s="96">
        <v>75044</v>
      </c>
      <c r="F45" s="126">
        <v>41278</v>
      </c>
      <c r="G45" s="48">
        <v>9967</v>
      </c>
      <c r="H45" s="97">
        <v>52398</v>
      </c>
      <c r="I45" s="98">
        <v>4066</v>
      </c>
      <c r="J45" s="99">
        <v>24800</v>
      </c>
      <c r="K45" s="100">
        <v>28215</v>
      </c>
      <c r="L45" s="101">
        <v>8833</v>
      </c>
      <c r="M45" s="403">
        <v>60805</v>
      </c>
      <c r="N45" s="60"/>
      <c r="O45" s="106"/>
      <c r="P45" s="121">
        <v>11796</v>
      </c>
      <c r="Q45" s="105"/>
      <c r="R45" s="89">
        <v>7308</v>
      </c>
      <c r="S45" s="90"/>
      <c r="T45" s="90">
        <v>7338</v>
      </c>
    </row>
    <row r="46" spans="1:21">
      <c r="A46" s="40" t="s">
        <v>133</v>
      </c>
      <c r="B46" s="40" t="s">
        <v>222</v>
      </c>
      <c r="C46" s="41">
        <v>520</v>
      </c>
      <c r="D46" s="94">
        <v>0</v>
      </c>
      <c r="E46" s="96">
        <v>0</v>
      </c>
      <c r="F46" s="126">
        <v>0</v>
      </c>
      <c r="G46" s="48">
        <v>0</v>
      </c>
      <c r="H46" s="97">
        <v>0</v>
      </c>
      <c r="I46" s="98">
        <v>0</v>
      </c>
      <c r="J46" s="99">
        <v>0</v>
      </c>
      <c r="K46" s="100">
        <v>0</v>
      </c>
      <c r="L46" s="101">
        <v>0</v>
      </c>
      <c r="M46" s="403">
        <v>0</v>
      </c>
      <c r="N46" s="60"/>
      <c r="O46" s="106"/>
      <c r="P46" s="121"/>
      <c r="Q46" s="105"/>
      <c r="R46" s="89"/>
      <c r="S46" s="90"/>
      <c r="T46" s="90">
        <v>0</v>
      </c>
      <c r="U46" s="73" t="s">
        <v>228</v>
      </c>
    </row>
    <row r="47" spans="1:21">
      <c r="A47" s="42" t="s">
        <v>134</v>
      </c>
      <c r="B47" s="42"/>
      <c r="C47" s="41">
        <v>530</v>
      </c>
      <c r="D47" s="94">
        <v>58455</v>
      </c>
      <c r="E47" s="96">
        <v>44685</v>
      </c>
      <c r="F47" s="126">
        <v>21439</v>
      </c>
      <c r="G47" s="48">
        <v>5934</v>
      </c>
      <c r="H47" s="97">
        <v>27211</v>
      </c>
      <c r="I47" s="98">
        <v>2246</v>
      </c>
      <c r="J47" s="99">
        <v>12880</v>
      </c>
      <c r="K47" s="100">
        <v>14108</v>
      </c>
      <c r="L47" s="101">
        <v>6021</v>
      </c>
      <c r="M47" s="403">
        <v>31671</v>
      </c>
      <c r="N47" s="60"/>
      <c r="O47" s="106"/>
      <c r="P47" s="121">
        <v>5488</v>
      </c>
      <c r="Q47" s="105"/>
      <c r="R47" s="89">
        <v>4308</v>
      </c>
      <c r="S47" s="90"/>
      <c r="T47" s="90">
        <v>3693</v>
      </c>
    </row>
    <row r="48" spans="1:21">
      <c r="A48" s="364" t="s">
        <v>135</v>
      </c>
      <c r="B48" s="42"/>
      <c r="C48" s="41"/>
      <c r="D48" s="94">
        <v>0</v>
      </c>
      <c r="E48" s="96">
        <v>0</v>
      </c>
      <c r="F48" s="126">
        <v>0</v>
      </c>
      <c r="G48" s="48">
        <v>0</v>
      </c>
      <c r="H48" s="97">
        <v>0</v>
      </c>
      <c r="I48" s="98">
        <v>0</v>
      </c>
      <c r="J48" s="99">
        <v>0</v>
      </c>
      <c r="K48" s="100">
        <v>0</v>
      </c>
      <c r="L48" s="101">
        <v>0</v>
      </c>
      <c r="M48" s="403">
        <v>0</v>
      </c>
      <c r="N48" s="60"/>
      <c r="O48" s="106"/>
      <c r="P48" s="121"/>
      <c r="Q48" s="105"/>
      <c r="R48" s="89"/>
      <c r="S48" s="90"/>
      <c r="T48" s="90">
        <v>0</v>
      </c>
      <c r="U48" s="73" t="s">
        <v>230</v>
      </c>
    </row>
    <row r="49" spans="1:21">
      <c r="A49" s="42" t="s">
        <v>136</v>
      </c>
      <c r="B49" s="42"/>
      <c r="C49" s="41">
        <v>540</v>
      </c>
      <c r="D49" s="94">
        <v>27665</v>
      </c>
      <c r="E49" s="96">
        <v>16259</v>
      </c>
      <c r="F49" s="126">
        <v>8357</v>
      </c>
      <c r="G49" s="48">
        <v>2159</v>
      </c>
      <c r="H49" s="97">
        <v>11135</v>
      </c>
      <c r="I49" s="98">
        <v>1349</v>
      </c>
      <c r="J49" s="99">
        <v>0</v>
      </c>
      <c r="K49" s="100">
        <v>14108</v>
      </c>
      <c r="L49" s="101">
        <v>2475</v>
      </c>
      <c r="M49" s="403">
        <v>17896</v>
      </c>
      <c r="N49" s="60"/>
      <c r="O49" s="106"/>
      <c r="P49" s="121">
        <v>3275</v>
      </c>
      <c r="Q49" s="105"/>
      <c r="R49" s="89">
        <v>3700</v>
      </c>
      <c r="S49" s="90"/>
      <c r="T49" s="90">
        <v>1393</v>
      </c>
    </row>
    <row r="50" spans="1:21">
      <c r="A50" s="40" t="s">
        <v>137</v>
      </c>
      <c r="B50" s="40" t="s">
        <v>222</v>
      </c>
      <c r="C50" s="41">
        <v>555</v>
      </c>
      <c r="D50" s="94">
        <v>0</v>
      </c>
      <c r="E50" s="96">
        <v>0</v>
      </c>
      <c r="F50" s="126">
        <v>0</v>
      </c>
      <c r="G50" s="48">
        <v>0</v>
      </c>
      <c r="H50" s="97">
        <v>0</v>
      </c>
      <c r="I50" s="98">
        <v>0</v>
      </c>
      <c r="J50" s="99">
        <v>0</v>
      </c>
      <c r="K50" s="100">
        <v>0</v>
      </c>
      <c r="L50" s="101">
        <v>2475</v>
      </c>
      <c r="M50" s="403">
        <v>0</v>
      </c>
      <c r="N50" s="60"/>
      <c r="O50" s="106"/>
      <c r="P50" s="121">
        <v>0</v>
      </c>
      <c r="Q50" s="105"/>
      <c r="R50" s="89"/>
      <c r="S50" s="90"/>
      <c r="T50" s="90">
        <v>0</v>
      </c>
      <c r="U50" s="73" t="s">
        <v>231</v>
      </c>
    </row>
    <row r="51" spans="1:21">
      <c r="A51" s="196" t="s">
        <v>184</v>
      </c>
      <c r="B51" s="40" t="s">
        <v>222</v>
      </c>
      <c r="C51" s="41">
        <v>550</v>
      </c>
      <c r="D51" s="94">
        <v>41471</v>
      </c>
      <c r="E51" s="96">
        <v>6903</v>
      </c>
      <c r="F51" s="150">
        <v>18840</v>
      </c>
      <c r="G51" s="48">
        <v>2264</v>
      </c>
      <c r="H51" s="97">
        <v>5500</v>
      </c>
      <c r="I51" s="98">
        <v>672</v>
      </c>
      <c r="J51" s="99">
        <v>3035</v>
      </c>
      <c r="K51" s="100">
        <v>14108</v>
      </c>
      <c r="L51" s="101">
        <v>0</v>
      </c>
      <c r="M51" s="403">
        <v>13919</v>
      </c>
      <c r="N51" s="60"/>
      <c r="O51" s="106"/>
      <c r="P51" s="121">
        <v>3275</v>
      </c>
      <c r="Q51" s="105"/>
      <c r="R51" s="89">
        <v>5542</v>
      </c>
      <c r="S51" s="90"/>
      <c r="T51" s="90">
        <v>262</v>
      </c>
    </row>
    <row r="52" spans="1:21">
      <c r="A52" s="40" t="s">
        <v>138</v>
      </c>
      <c r="B52" s="40"/>
      <c r="C52" s="41">
        <v>560</v>
      </c>
      <c r="D52" s="94">
        <v>52648</v>
      </c>
      <c r="E52" s="96">
        <v>25515</v>
      </c>
      <c r="F52" s="126">
        <v>18473</v>
      </c>
      <c r="G52" s="48">
        <v>3663</v>
      </c>
      <c r="H52" s="97">
        <v>25419</v>
      </c>
      <c r="I52" s="98">
        <v>1834</v>
      </c>
      <c r="J52" s="99">
        <v>0</v>
      </c>
      <c r="K52" s="100">
        <v>14108</v>
      </c>
      <c r="L52" s="101">
        <v>4426</v>
      </c>
      <c r="M52" s="403">
        <v>18554</v>
      </c>
      <c r="N52" s="60"/>
      <c r="O52" s="106"/>
      <c r="P52" s="121">
        <v>3275</v>
      </c>
      <c r="Q52" s="105"/>
      <c r="R52" s="89">
        <v>3075</v>
      </c>
      <c r="S52" s="90"/>
      <c r="T52" s="90">
        <v>2771</v>
      </c>
    </row>
    <row r="53" spans="1:21">
      <c r="A53" s="57" t="s">
        <v>139</v>
      </c>
      <c r="B53" s="40"/>
      <c r="C53" s="41">
        <v>934</v>
      </c>
      <c r="D53" s="94">
        <v>0</v>
      </c>
      <c r="E53" s="96">
        <v>0</v>
      </c>
      <c r="F53" s="126">
        <v>0</v>
      </c>
      <c r="G53" s="48">
        <v>0</v>
      </c>
      <c r="H53" s="97">
        <v>0</v>
      </c>
      <c r="I53" s="98">
        <v>0</v>
      </c>
      <c r="J53" s="99">
        <v>0</v>
      </c>
      <c r="K53" s="100">
        <v>0</v>
      </c>
      <c r="L53" s="101">
        <v>18301</v>
      </c>
      <c r="M53" s="403">
        <v>0</v>
      </c>
      <c r="N53" s="60"/>
      <c r="O53" s="107"/>
      <c r="P53" s="122"/>
      <c r="Q53" s="105"/>
      <c r="R53" s="89"/>
      <c r="S53" s="90"/>
      <c r="T53" s="90">
        <v>0</v>
      </c>
      <c r="U53" s="73" t="s">
        <v>232</v>
      </c>
    </row>
    <row r="54" spans="1:21">
      <c r="A54" s="42" t="s">
        <v>140</v>
      </c>
      <c r="B54" s="42"/>
      <c r="C54" s="41">
        <v>570</v>
      </c>
      <c r="D54" s="94">
        <v>46862</v>
      </c>
      <c r="E54" s="96">
        <v>33092</v>
      </c>
      <c r="F54" s="126">
        <v>16513</v>
      </c>
      <c r="G54" s="48">
        <v>4395</v>
      </c>
      <c r="H54" s="97">
        <v>20959</v>
      </c>
      <c r="I54" s="98">
        <v>1924</v>
      </c>
      <c r="J54" s="99">
        <v>9921</v>
      </c>
      <c r="K54" s="100">
        <v>14108</v>
      </c>
      <c r="L54" s="101">
        <v>4898</v>
      </c>
      <c r="M54" s="403">
        <v>23719</v>
      </c>
      <c r="N54" s="60"/>
      <c r="O54" s="106"/>
      <c r="P54" s="121">
        <v>4479</v>
      </c>
      <c r="Q54" s="105"/>
      <c r="R54" s="89">
        <v>3075</v>
      </c>
      <c r="S54" s="90"/>
      <c r="T54" s="90">
        <v>2820</v>
      </c>
    </row>
    <row r="55" spans="1:21">
      <c r="A55" s="40" t="s">
        <v>141</v>
      </c>
      <c r="B55" s="40" t="s">
        <v>222</v>
      </c>
      <c r="C55" s="41">
        <v>580</v>
      </c>
      <c r="D55" s="94">
        <v>53753</v>
      </c>
      <c r="E55" s="96">
        <v>35070</v>
      </c>
      <c r="F55" s="126">
        <v>19439</v>
      </c>
      <c r="G55" s="48">
        <v>4658</v>
      </c>
      <c r="H55" s="97">
        <v>24676</v>
      </c>
      <c r="I55" s="98">
        <v>1573</v>
      </c>
      <c r="J55" s="99">
        <v>11680</v>
      </c>
      <c r="K55" s="100">
        <v>14108</v>
      </c>
      <c r="L55" s="101">
        <v>4275</v>
      </c>
      <c r="M55" s="403">
        <v>31186</v>
      </c>
      <c r="N55" s="60"/>
      <c r="O55" s="106"/>
      <c r="P55" s="121">
        <v>4894</v>
      </c>
      <c r="Q55" s="105"/>
      <c r="R55" s="89">
        <v>3075</v>
      </c>
      <c r="S55" s="90"/>
      <c r="T55" s="90">
        <v>3537</v>
      </c>
    </row>
    <row r="56" spans="1:21">
      <c r="A56" s="149" t="s">
        <v>178</v>
      </c>
      <c r="B56" s="40" t="s">
        <v>222</v>
      </c>
      <c r="C56" s="41">
        <v>590</v>
      </c>
      <c r="D56" s="94">
        <v>40014</v>
      </c>
      <c r="E56" s="96">
        <v>6950</v>
      </c>
      <c r="F56" s="150">
        <v>17572</v>
      </c>
      <c r="G56" s="48">
        <v>1953</v>
      </c>
      <c r="H56" s="97">
        <v>0</v>
      </c>
      <c r="I56" s="98">
        <v>952</v>
      </c>
      <c r="J56" s="99">
        <v>2999</v>
      </c>
      <c r="K56" s="100">
        <v>5000</v>
      </c>
      <c r="L56" s="101">
        <v>0</v>
      </c>
      <c r="M56" s="403">
        <v>14925</v>
      </c>
      <c r="N56" s="60"/>
      <c r="O56" s="106"/>
      <c r="P56" s="121">
        <v>1000</v>
      </c>
      <c r="Q56" s="105"/>
      <c r="R56" s="89">
        <v>3000</v>
      </c>
      <c r="S56" s="90"/>
      <c r="T56" s="90">
        <v>0</v>
      </c>
    </row>
    <row r="57" spans="1:21">
      <c r="A57" s="42" t="s">
        <v>142</v>
      </c>
      <c r="B57" s="42" t="s">
        <v>222</v>
      </c>
      <c r="C57" s="41">
        <v>610</v>
      </c>
      <c r="D57" s="94">
        <v>124162</v>
      </c>
      <c r="E57" s="96">
        <v>71133</v>
      </c>
      <c r="F57" s="126">
        <v>49356</v>
      </c>
      <c r="G57" s="48">
        <v>9977</v>
      </c>
      <c r="H57" s="97">
        <v>68645</v>
      </c>
      <c r="I57" s="98">
        <v>2659</v>
      </c>
      <c r="J57" s="99">
        <v>0</v>
      </c>
      <c r="K57" s="100">
        <v>16719</v>
      </c>
      <c r="L57" s="101">
        <v>10934</v>
      </c>
      <c r="M57" s="403">
        <v>30919</v>
      </c>
      <c r="N57" s="60"/>
      <c r="O57" s="106"/>
      <c r="P57" s="121">
        <v>10243</v>
      </c>
      <c r="Q57" s="105"/>
      <c r="R57" s="89">
        <v>3075</v>
      </c>
      <c r="S57" s="90"/>
      <c r="T57" s="90">
        <v>0</v>
      </c>
    </row>
    <row r="58" spans="1:21">
      <c r="A58" s="40" t="s">
        <v>143</v>
      </c>
      <c r="B58" s="40" t="s">
        <v>222</v>
      </c>
      <c r="C58" s="41">
        <v>620</v>
      </c>
      <c r="D58" s="94">
        <v>78224</v>
      </c>
      <c r="E58" s="96">
        <v>27271</v>
      </c>
      <c r="F58" s="126">
        <v>28800</v>
      </c>
      <c r="G58" s="48">
        <v>3622</v>
      </c>
      <c r="H58" s="97">
        <v>36557</v>
      </c>
      <c r="I58" s="98">
        <v>1377</v>
      </c>
      <c r="J58" s="99">
        <v>17303</v>
      </c>
      <c r="K58" s="100">
        <v>14108</v>
      </c>
      <c r="L58" s="101">
        <v>4742</v>
      </c>
      <c r="M58" s="403">
        <v>29701</v>
      </c>
      <c r="N58" s="60"/>
      <c r="O58" s="106"/>
      <c r="P58" s="121">
        <v>5152</v>
      </c>
      <c r="Q58" s="105"/>
      <c r="R58" s="89">
        <v>3075</v>
      </c>
      <c r="S58" s="90"/>
      <c r="T58" s="90">
        <v>5908</v>
      </c>
    </row>
    <row r="59" spans="1:21">
      <c r="A59" s="40" t="s">
        <v>144</v>
      </c>
      <c r="B59" s="40" t="s">
        <v>222</v>
      </c>
      <c r="C59" s="41">
        <v>630</v>
      </c>
      <c r="D59" s="94">
        <v>16660</v>
      </c>
      <c r="E59" s="96">
        <v>18882</v>
      </c>
      <c r="F59" s="126">
        <v>3680</v>
      </c>
      <c r="G59" s="48">
        <v>1080</v>
      </c>
      <c r="H59" s="97">
        <v>5000</v>
      </c>
      <c r="I59" s="98">
        <v>1137</v>
      </c>
      <c r="J59" s="99">
        <v>0</v>
      </c>
      <c r="K59" s="100">
        <v>14108</v>
      </c>
      <c r="L59" s="101">
        <v>2475</v>
      </c>
      <c r="M59" s="403">
        <v>6098</v>
      </c>
      <c r="N59" s="60"/>
      <c r="O59" s="106"/>
      <c r="P59" s="121">
        <v>3275</v>
      </c>
      <c r="Q59" s="105"/>
      <c r="R59" s="89">
        <v>3730</v>
      </c>
      <c r="S59" s="90"/>
      <c r="T59" s="90">
        <v>0</v>
      </c>
    </row>
    <row r="60" spans="1:21">
      <c r="A60" s="40" t="s">
        <v>145</v>
      </c>
      <c r="B60" s="40" t="s">
        <v>222</v>
      </c>
      <c r="C60" s="41">
        <v>640</v>
      </c>
      <c r="D60" s="94">
        <v>34093</v>
      </c>
      <c r="E60" s="96">
        <v>17418</v>
      </c>
      <c r="F60" s="126">
        <v>11087</v>
      </c>
      <c r="G60" s="48">
        <v>2313</v>
      </c>
      <c r="H60" s="97">
        <v>14074</v>
      </c>
      <c r="I60" s="98">
        <v>1454</v>
      </c>
      <c r="J60" s="99">
        <v>6661</v>
      </c>
      <c r="K60" s="100">
        <v>14108</v>
      </c>
      <c r="L60" s="101">
        <v>2624</v>
      </c>
      <c r="M60" s="403">
        <v>15626</v>
      </c>
      <c r="N60" s="60"/>
      <c r="O60" s="106"/>
      <c r="P60" s="121">
        <v>3275</v>
      </c>
      <c r="Q60" s="105"/>
      <c r="R60" s="89">
        <v>4308</v>
      </c>
      <c r="S60" s="90"/>
      <c r="T60" s="90">
        <v>2175</v>
      </c>
    </row>
    <row r="61" spans="1:21">
      <c r="A61" s="40" t="s">
        <v>146</v>
      </c>
      <c r="B61" s="40" t="s">
        <v>222</v>
      </c>
      <c r="C61" s="41">
        <v>650</v>
      </c>
      <c r="D61" s="94">
        <v>81331</v>
      </c>
      <c r="E61" s="96">
        <v>54547</v>
      </c>
      <c r="F61" s="126">
        <v>27759</v>
      </c>
      <c r="G61" s="48">
        <v>7244</v>
      </c>
      <c r="H61" s="97">
        <v>35236</v>
      </c>
      <c r="I61" s="98">
        <v>3477</v>
      </c>
      <c r="J61" s="99">
        <v>5898</v>
      </c>
      <c r="K61" s="100">
        <v>28215</v>
      </c>
      <c r="L61" s="101">
        <v>4506</v>
      </c>
      <c r="M61" s="403">
        <v>34840</v>
      </c>
      <c r="N61" s="60"/>
      <c r="O61" s="106"/>
      <c r="P61" s="121">
        <v>7729</v>
      </c>
      <c r="Q61" s="105"/>
      <c r="R61" s="89">
        <v>6075</v>
      </c>
      <c r="S61" s="90"/>
      <c r="T61" s="90">
        <v>0</v>
      </c>
      <c r="U61" s="73" t="s">
        <v>233</v>
      </c>
    </row>
    <row r="62" spans="1:21">
      <c r="A62" s="40" t="s">
        <v>147</v>
      </c>
      <c r="B62" s="40" t="s">
        <v>222</v>
      </c>
      <c r="C62" s="41">
        <v>660</v>
      </c>
      <c r="D62" s="94">
        <v>66151</v>
      </c>
      <c r="E62" s="96">
        <v>37091</v>
      </c>
      <c r="F62" s="126">
        <v>24707</v>
      </c>
      <c r="G62" s="48">
        <v>4926</v>
      </c>
      <c r="H62" s="97">
        <v>31363</v>
      </c>
      <c r="I62" s="98">
        <v>2151</v>
      </c>
      <c r="J62" s="99">
        <v>14844</v>
      </c>
      <c r="K62" s="100">
        <v>14108</v>
      </c>
      <c r="L62" s="101">
        <v>5444</v>
      </c>
      <c r="M62" s="403">
        <v>46444</v>
      </c>
      <c r="N62" s="60"/>
      <c r="O62" s="106"/>
      <c r="P62" s="121">
        <v>4464</v>
      </c>
      <c r="Q62" s="105"/>
      <c r="R62" s="89">
        <v>4308</v>
      </c>
      <c r="S62" s="90"/>
      <c r="T62" s="90">
        <v>4099</v>
      </c>
    </row>
    <row r="63" spans="1:21">
      <c r="A63" s="149" t="s">
        <v>179</v>
      </c>
      <c r="B63" s="40" t="s">
        <v>222</v>
      </c>
      <c r="C63" s="41">
        <v>320</v>
      </c>
      <c r="D63" s="94">
        <v>8527</v>
      </c>
      <c r="E63" s="96">
        <v>752</v>
      </c>
      <c r="F63" s="150">
        <v>2054</v>
      </c>
      <c r="G63" s="48">
        <v>228</v>
      </c>
      <c r="H63" s="97">
        <v>0</v>
      </c>
      <c r="I63" s="98">
        <v>38</v>
      </c>
      <c r="J63" s="99">
        <v>2558</v>
      </c>
      <c r="K63" s="100">
        <v>0</v>
      </c>
      <c r="L63" s="101">
        <v>0</v>
      </c>
      <c r="M63" s="403">
        <v>2966</v>
      </c>
      <c r="N63" s="60"/>
      <c r="O63" s="106"/>
      <c r="P63" s="121">
        <v>0</v>
      </c>
      <c r="Q63" s="105"/>
      <c r="R63" s="89">
        <v>0</v>
      </c>
      <c r="S63" s="90"/>
      <c r="T63" s="90">
        <v>0</v>
      </c>
      <c r="U63" s="73" t="s">
        <v>234</v>
      </c>
    </row>
    <row r="64" spans="1:21">
      <c r="A64" s="40" t="s">
        <v>148</v>
      </c>
      <c r="B64" s="40" t="s">
        <v>222</v>
      </c>
      <c r="C64" s="41">
        <v>670</v>
      </c>
      <c r="D64" s="94">
        <v>25603</v>
      </c>
      <c r="E64" s="96">
        <v>16200</v>
      </c>
      <c r="F64" s="126">
        <v>7480</v>
      </c>
      <c r="G64" s="48">
        <v>2325</v>
      </c>
      <c r="H64" s="97">
        <v>9495</v>
      </c>
      <c r="I64" s="98">
        <v>1642</v>
      </c>
      <c r="J64" s="99">
        <v>0</v>
      </c>
      <c r="K64" s="100">
        <v>14108</v>
      </c>
      <c r="L64" s="101">
        <v>2829</v>
      </c>
      <c r="M64" s="403">
        <v>13093</v>
      </c>
      <c r="N64" s="60"/>
      <c r="O64" s="106"/>
      <c r="P64" s="121">
        <v>3275</v>
      </c>
      <c r="Q64" s="105"/>
      <c r="R64" s="89">
        <v>3075</v>
      </c>
      <c r="S64" s="90"/>
      <c r="T64" s="90">
        <v>0</v>
      </c>
    </row>
    <row r="65" spans="1:21">
      <c r="A65" s="40" t="s">
        <v>149</v>
      </c>
      <c r="B65" s="40" t="s">
        <v>222</v>
      </c>
      <c r="C65" s="41">
        <v>680</v>
      </c>
      <c r="D65" s="94">
        <v>190019</v>
      </c>
      <c r="E65" s="96">
        <v>119440</v>
      </c>
      <c r="F65" s="126">
        <v>70423</v>
      </c>
      <c r="G65" s="48">
        <v>15897</v>
      </c>
      <c r="H65" s="97">
        <v>97298</v>
      </c>
      <c r="I65" s="98">
        <v>3259</v>
      </c>
      <c r="J65" s="99">
        <v>0</v>
      </c>
      <c r="K65" s="100">
        <v>16719</v>
      </c>
      <c r="L65" s="101">
        <v>16253</v>
      </c>
      <c r="M65" s="403">
        <v>64405</v>
      </c>
      <c r="N65" s="60"/>
      <c r="O65" s="106"/>
      <c r="P65" s="121">
        <v>11066</v>
      </c>
      <c r="Q65" s="105"/>
      <c r="R65" s="89">
        <v>3075</v>
      </c>
      <c r="S65" s="90"/>
      <c r="T65" s="90">
        <v>12289</v>
      </c>
    </row>
    <row r="66" spans="1:21">
      <c r="A66" s="149" t="s">
        <v>180</v>
      </c>
      <c r="B66" s="40" t="s">
        <v>222</v>
      </c>
      <c r="C66" s="41">
        <v>700</v>
      </c>
      <c r="D66" s="94">
        <v>16228</v>
      </c>
      <c r="E66" s="96">
        <v>1814</v>
      </c>
      <c r="F66" s="150">
        <v>4951</v>
      </c>
      <c r="G66" s="48">
        <v>550</v>
      </c>
      <c r="H66" s="97">
        <v>0</v>
      </c>
      <c r="I66" s="98">
        <v>211</v>
      </c>
      <c r="J66" s="99">
        <v>2641</v>
      </c>
      <c r="K66" s="100">
        <v>0</v>
      </c>
      <c r="L66" s="101">
        <v>0</v>
      </c>
      <c r="M66" s="403">
        <v>11424</v>
      </c>
      <c r="N66" s="60"/>
      <c r="O66" s="106"/>
      <c r="P66" s="121">
        <v>0</v>
      </c>
      <c r="Q66" s="105"/>
      <c r="R66" s="89">
        <v>0</v>
      </c>
      <c r="S66" s="90"/>
      <c r="T66" s="90">
        <v>0</v>
      </c>
    </row>
    <row r="67" spans="1:21">
      <c r="A67" s="40" t="s">
        <v>150</v>
      </c>
      <c r="B67" s="40" t="s">
        <v>222</v>
      </c>
      <c r="C67" s="41">
        <v>710</v>
      </c>
      <c r="D67" s="94">
        <v>32235</v>
      </c>
      <c r="E67" s="96">
        <v>17657</v>
      </c>
      <c r="F67" s="126">
        <v>9124</v>
      </c>
      <c r="G67" s="48">
        <v>2534</v>
      </c>
      <c r="H67" s="97">
        <v>12583</v>
      </c>
      <c r="I67" s="98">
        <v>0</v>
      </c>
      <c r="J67" s="99">
        <v>0</v>
      </c>
      <c r="K67" s="100">
        <v>14108</v>
      </c>
      <c r="L67" s="101">
        <v>2639</v>
      </c>
      <c r="M67" s="403">
        <v>16259</v>
      </c>
      <c r="N67" s="60"/>
      <c r="O67" s="106"/>
      <c r="P67" s="121">
        <v>3275</v>
      </c>
      <c r="Q67" s="105"/>
      <c r="R67" s="89">
        <v>6159</v>
      </c>
      <c r="S67" s="90"/>
      <c r="T67" s="90">
        <v>1265</v>
      </c>
    </row>
    <row r="68" spans="1:21">
      <c r="A68" s="40" t="s">
        <v>151</v>
      </c>
      <c r="B68" s="40"/>
      <c r="C68" s="41">
        <v>720</v>
      </c>
      <c r="D68" s="94">
        <v>142110</v>
      </c>
      <c r="E68" s="96">
        <v>71662</v>
      </c>
      <c r="F68" s="126">
        <v>56981</v>
      </c>
      <c r="G68" s="48">
        <v>9517</v>
      </c>
      <c r="H68" s="97">
        <v>72329</v>
      </c>
      <c r="I68" s="98">
        <v>2834</v>
      </c>
      <c r="J68" s="99">
        <v>34235</v>
      </c>
      <c r="K68" s="100">
        <v>16719</v>
      </c>
      <c r="L68" s="101">
        <v>12600</v>
      </c>
      <c r="M68" s="403">
        <v>43143</v>
      </c>
      <c r="N68" s="60"/>
      <c r="O68" s="106"/>
      <c r="P68" s="121">
        <v>9967</v>
      </c>
      <c r="Q68" s="105"/>
      <c r="R68" s="89">
        <v>4308</v>
      </c>
      <c r="S68" s="90"/>
      <c r="T68" s="90">
        <v>10148</v>
      </c>
    </row>
    <row r="69" spans="1:21">
      <c r="A69" s="40" t="s">
        <v>152</v>
      </c>
      <c r="B69" s="40" t="s">
        <v>222</v>
      </c>
      <c r="C69" s="41">
        <v>730</v>
      </c>
      <c r="D69" s="94">
        <v>27404</v>
      </c>
      <c r="E69" s="96">
        <v>20602</v>
      </c>
      <c r="F69" s="126">
        <v>8244</v>
      </c>
      <c r="G69" s="48">
        <v>2741</v>
      </c>
      <c r="H69" s="97">
        <v>10499</v>
      </c>
      <c r="I69" s="98">
        <v>1316</v>
      </c>
      <c r="J69" s="99">
        <v>0</v>
      </c>
      <c r="K69" s="100">
        <v>14108</v>
      </c>
      <c r="L69" s="101">
        <v>2475</v>
      </c>
      <c r="M69" s="403">
        <v>15853</v>
      </c>
      <c r="N69" s="60"/>
      <c r="O69" s="106"/>
      <c r="P69" s="121">
        <v>3275</v>
      </c>
      <c r="Q69" s="105"/>
      <c r="R69" s="89">
        <v>4617</v>
      </c>
      <c r="S69" s="90"/>
      <c r="T69" s="90">
        <v>1234</v>
      </c>
    </row>
    <row r="70" spans="1:21">
      <c r="A70" s="40" t="s">
        <v>153</v>
      </c>
      <c r="B70" s="40" t="s">
        <v>222</v>
      </c>
      <c r="C70" s="41">
        <v>740</v>
      </c>
      <c r="D70" s="94">
        <v>66391</v>
      </c>
      <c r="E70" s="96">
        <v>38623</v>
      </c>
      <c r="F70" s="126">
        <v>24809</v>
      </c>
      <c r="G70" s="48">
        <v>5130</v>
      </c>
      <c r="H70" s="97">
        <v>31492</v>
      </c>
      <c r="I70" s="98">
        <v>1897</v>
      </c>
      <c r="J70" s="99">
        <v>0</v>
      </c>
      <c r="K70" s="100">
        <v>14108</v>
      </c>
      <c r="L70" s="101">
        <v>5442</v>
      </c>
      <c r="M70" s="403">
        <v>32054</v>
      </c>
      <c r="N70" s="60"/>
      <c r="O70" s="106"/>
      <c r="P70" s="121">
        <v>6779</v>
      </c>
      <c r="Q70" s="105"/>
      <c r="R70" s="89">
        <v>4308</v>
      </c>
      <c r="S70" s="90"/>
      <c r="T70" s="90">
        <v>4245</v>
      </c>
    </row>
    <row r="71" spans="1:21">
      <c r="A71" s="40" t="s">
        <v>154</v>
      </c>
      <c r="B71" s="40"/>
      <c r="C71" s="41">
        <v>750</v>
      </c>
      <c r="D71" s="94">
        <v>27799</v>
      </c>
      <c r="E71" s="96">
        <v>20652</v>
      </c>
      <c r="F71" s="126">
        <v>8412</v>
      </c>
      <c r="G71" s="48">
        <v>2742</v>
      </c>
      <c r="H71" s="97">
        <v>10678</v>
      </c>
      <c r="I71" s="98">
        <v>1496</v>
      </c>
      <c r="J71" s="99">
        <v>0</v>
      </c>
      <c r="K71" s="100">
        <v>14108</v>
      </c>
      <c r="L71" s="101">
        <v>2758</v>
      </c>
      <c r="M71" s="403">
        <v>21839</v>
      </c>
      <c r="N71" s="60"/>
      <c r="O71" s="106"/>
      <c r="P71" s="121">
        <v>3275</v>
      </c>
      <c r="Q71" s="105"/>
      <c r="R71" s="89">
        <v>3075</v>
      </c>
      <c r="S71" s="90"/>
      <c r="T71" s="90">
        <v>1642</v>
      </c>
    </row>
    <row r="72" spans="1:21">
      <c r="A72" s="42" t="s">
        <v>155</v>
      </c>
      <c r="B72" s="42" t="s">
        <v>222</v>
      </c>
      <c r="C72" s="41">
        <v>760</v>
      </c>
      <c r="D72" s="94">
        <v>52369</v>
      </c>
      <c r="E72" s="96">
        <v>37802</v>
      </c>
      <c r="F72" s="126">
        <v>18851</v>
      </c>
      <c r="G72" s="48">
        <v>5020</v>
      </c>
      <c r="H72" s="97">
        <v>23929</v>
      </c>
      <c r="I72" s="98">
        <v>2082</v>
      </c>
      <c r="J72" s="99">
        <v>0</v>
      </c>
      <c r="K72" s="100">
        <v>14108</v>
      </c>
      <c r="L72" s="101">
        <v>5789</v>
      </c>
      <c r="M72" s="403">
        <v>20174</v>
      </c>
      <c r="N72" s="60"/>
      <c r="O72" s="106"/>
      <c r="P72" s="121">
        <v>4590</v>
      </c>
      <c r="Q72" s="105"/>
      <c r="R72" s="89">
        <v>3000</v>
      </c>
      <c r="S72" s="90"/>
      <c r="T72" s="90">
        <v>3118</v>
      </c>
    </row>
    <row r="73" spans="1:21">
      <c r="A73" s="42" t="s">
        <v>156</v>
      </c>
      <c r="B73" s="42"/>
      <c r="C73" s="41">
        <v>770</v>
      </c>
      <c r="D73" s="94">
        <v>101987</v>
      </c>
      <c r="E73" s="96">
        <v>47371</v>
      </c>
      <c r="F73" s="126">
        <v>39933</v>
      </c>
      <c r="G73" s="48">
        <v>6536</v>
      </c>
      <c r="H73" s="97">
        <v>50689</v>
      </c>
      <c r="I73" s="98">
        <v>2084</v>
      </c>
      <c r="J73" s="99">
        <v>23992</v>
      </c>
      <c r="K73" s="100">
        <v>14108</v>
      </c>
      <c r="L73" s="101">
        <v>10404</v>
      </c>
      <c r="M73" s="403">
        <v>28863</v>
      </c>
      <c r="N73" s="60"/>
      <c r="O73" s="106"/>
      <c r="P73" s="121">
        <v>9924</v>
      </c>
      <c r="Q73" s="105"/>
      <c r="R73" s="89">
        <v>3075</v>
      </c>
      <c r="S73" s="90"/>
      <c r="T73" s="90">
        <v>7450</v>
      </c>
    </row>
    <row r="74" spans="1:21">
      <c r="A74" s="149" t="s">
        <v>181</v>
      </c>
      <c r="B74" s="40" t="s">
        <v>222</v>
      </c>
      <c r="C74" s="41">
        <v>780</v>
      </c>
      <c r="D74" s="94">
        <v>8555</v>
      </c>
      <c r="E74" s="96">
        <v>531</v>
      </c>
      <c r="F74" s="150">
        <v>1449</v>
      </c>
      <c r="G74" s="48">
        <v>161</v>
      </c>
      <c r="H74" s="97">
        <v>0</v>
      </c>
      <c r="I74" s="98">
        <v>43</v>
      </c>
      <c r="J74" s="99">
        <v>2541</v>
      </c>
      <c r="K74" s="100">
        <v>0</v>
      </c>
      <c r="L74" s="101">
        <v>0</v>
      </c>
      <c r="M74" s="403">
        <v>1076</v>
      </c>
      <c r="N74" s="60"/>
      <c r="O74" s="106"/>
      <c r="P74" s="121">
        <v>0</v>
      </c>
      <c r="Q74" s="105"/>
      <c r="R74" s="89">
        <v>0</v>
      </c>
      <c r="S74" s="90"/>
      <c r="T74" s="90">
        <v>0</v>
      </c>
    </row>
    <row r="75" spans="1:21">
      <c r="A75" s="40" t="s">
        <v>157</v>
      </c>
      <c r="B75" s="40" t="s">
        <v>222</v>
      </c>
      <c r="C75" s="41">
        <v>790</v>
      </c>
      <c r="D75" s="94">
        <v>61814</v>
      </c>
      <c r="E75" s="96">
        <v>28570</v>
      </c>
      <c r="F75" s="126">
        <v>22864</v>
      </c>
      <c r="G75" s="48">
        <v>3794</v>
      </c>
      <c r="H75" s="97">
        <v>29022</v>
      </c>
      <c r="I75" s="98">
        <v>1518</v>
      </c>
      <c r="J75" s="99">
        <v>13737</v>
      </c>
      <c r="K75" s="100">
        <v>14108</v>
      </c>
      <c r="L75" s="101">
        <v>3870</v>
      </c>
      <c r="M75" s="403">
        <v>29343</v>
      </c>
      <c r="N75" s="60"/>
      <c r="O75" s="106"/>
      <c r="P75" s="121">
        <v>3765</v>
      </c>
      <c r="Q75" s="105"/>
      <c r="R75" s="89">
        <v>5542</v>
      </c>
      <c r="S75" s="90"/>
      <c r="T75" s="90">
        <v>4212</v>
      </c>
    </row>
    <row r="76" spans="1:21">
      <c r="A76" s="149" t="s">
        <v>182</v>
      </c>
      <c r="B76" s="40" t="s">
        <v>222</v>
      </c>
      <c r="C76" s="41">
        <v>800</v>
      </c>
      <c r="D76" s="94">
        <v>11431</v>
      </c>
      <c r="E76" s="96">
        <v>1903</v>
      </c>
      <c r="F76" s="150">
        <v>5193</v>
      </c>
      <c r="G76" s="48">
        <v>577</v>
      </c>
      <c r="H76" s="97">
        <v>0</v>
      </c>
      <c r="I76" s="98">
        <v>184</v>
      </c>
      <c r="J76" s="99">
        <v>2648</v>
      </c>
      <c r="K76" s="100">
        <v>0</v>
      </c>
      <c r="L76" s="101">
        <v>0</v>
      </c>
      <c r="M76" s="403">
        <v>1507</v>
      </c>
      <c r="N76" s="60"/>
      <c r="O76" s="106"/>
      <c r="P76" s="121">
        <v>0</v>
      </c>
      <c r="Q76" s="105"/>
      <c r="R76" s="89">
        <v>0</v>
      </c>
      <c r="S76" s="90"/>
      <c r="T76" s="90">
        <v>0</v>
      </c>
    </row>
    <row r="77" spans="1:21">
      <c r="A77" s="149" t="s">
        <v>183</v>
      </c>
      <c r="B77" s="40" t="s">
        <v>222</v>
      </c>
      <c r="C77" s="41">
        <v>810</v>
      </c>
      <c r="D77" s="94">
        <v>15563</v>
      </c>
      <c r="E77" s="96">
        <v>2951</v>
      </c>
      <c r="F77" s="150">
        <v>4438</v>
      </c>
      <c r="G77" s="48">
        <v>493</v>
      </c>
      <c r="H77" s="97">
        <v>0</v>
      </c>
      <c r="I77" s="98">
        <v>414</v>
      </c>
      <c r="J77" s="99">
        <v>2626</v>
      </c>
      <c r="K77" s="100">
        <v>5000</v>
      </c>
      <c r="L77" s="101">
        <v>0</v>
      </c>
      <c r="M77" s="403">
        <v>5733</v>
      </c>
      <c r="N77" s="60"/>
      <c r="O77" s="106"/>
      <c r="P77" s="121">
        <v>1000</v>
      </c>
      <c r="Q77" s="105"/>
      <c r="R77" s="89">
        <v>3000</v>
      </c>
      <c r="S77" s="90"/>
      <c r="T77" s="90">
        <v>0</v>
      </c>
    </row>
    <row r="78" spans="1:21">
      <c r="A78" s="57" t="s">
        <v>158</v>
      </c>
      <c r="B78" s="40" t="s">
        <v>222</v>
      </c>
      <c r="C78" s="41">
        <v>931</v>
      </c>
      <c r="D78" s="94">
        <v>0</v>
      </c>
      <c r="E78" s="96">
        <v>19014</v>
      </c>
      <c r="F78" s="126">
        <v>9159</v>
      </c>
      <c r="G78" s="48">
        <v>0</v>
      </c>
      <c r="H78" s="97">
        <v>0</v>
      </c>
      <c r="I78" s="98">
        <v>0</v>
      </c>
      <c r="J78" s="99">
        <v>0</v>
      </c>
      <c r="K78" s="100">
        <v>0</v>
      </c>
      <c r="L78" s="101">
        <v>0</v>
      </c>
      <c r="M78" s="403">
        <v>12651</v>
      </c>
      <c r="N78" s="60"/>
      <c r="O78" s="106"/>
      <c r="P78" s="121">
        <v>0</v>
      </c>
      <c r="Q78" s="105"/>
      <c r="R78" s="89"/>
      <c r="S78" s="90"/>
      <c r="T78" s="90">
        <v>0</v>
      </c>
      <c r="U78" s="73" t="s">
        <v>235</v>
      </c>
    </row>
    <row r="79" spans="1:21">
      <c r="A79" s="57" t="s">
        <v>159</v>
      </c>
      <c r="B79" s="40" t="s">
        <v>222</v>
      </c>
      <c r="C79" s="41">
        <v>932</v>
      </c>
      <c r="D79" s="94">
        <v>0</v>
      </c>
      <c r="E79" s="96">
        <v>14307</v>
      </c>
      <c r="F79" s="126">
        <v>6328</v>
      </c>
      <c r="G79" s="48">
        <v>0</v>
      </c>
      <c r="H79" s="97">
        <v>0</v>
      </c>
      <c r="I79" s="98">
        <v>0</v>
      </c>
      <c r="J79" s="99">
        <v>0</v>
      </c>
      <c r="K79" s="100">
        <v>0</v>
      </c>
      <c r="L79" s="101">
        <v>0</v>
      </c>
      <c r="M79" s="403">
        <v>12821</v>
      </c>
      <c r="N79" s="60"/>
      <c r="O79" s="106"/>
      <c r="P79" s="121">
        <v>0</v>
      </c>
      <c r="Q79" s="105"/>
      <c r="R79" s="89"/>
      <c r="S79" s="90"/>
      <c r="T79" s="90">
        <v>0</v>
      </c>
      <c r="U79" s="73" t="s">
        <v>236</v>
      </c>
    </row>
    <row r="80" spans="1:21">
      <c r="A80" s="40" t="s">
        <v>160</v>
      </c>
      <c r="B80" s="40"/>
      <c r="C80" s="41">
        <v>820</v>
      </c>
      <c r="D80" s="94">
        <v>32043</v>
      </c>
      <c r="E80" s="96">
        <v>22803</v>
      </c>
      <c r="F80" s="126">
        <v>10215</v>
      </c>
      <c r="G80" s="48">
        <v>3305</v>
      </c>
      <c r="H80" s="97">
        <v>14063</v>
      </c>
      <c r="I80" s="98">
        <v>1560</v>
      </c>
      <c r="J80" s="99">
        <v>0</v>
      </c>
      <c r="K80" s="100">
        <v>14108</v>
      </c>
      <c r="L80" s="101">
        <v>2618</v>
      </c>
      <c r="M80" s="403">
        <v>18359</v>
      </c>
      <c r="N80" s="60"/>
      <c r="O80" s="563"/>
      <c r="P80" s="564">
        <v>3275</v>
      </c>
      <c r="Q80" s="105"/>
      <c r="R80" s="89">
        <v>3075</v>
      </c>
      <c r="S80" s="90"/>
      <c r="T80" s="90">
        <v>1306</v>
      </c>
    </row>
    <row r="81" spans="1:21">
      <c r="A81" s="40" t="s">
        <v>161</v>
      </c>
      <c r="B81" s="40" t="s">
        <v>222</v>
      </c>
      <c r="C81" s="41">
        <v>830</v>
      </c>
      <c r="D81" s="94">
        <v>36296</v>
      </c>
      <c r="E81" s="96">
        <v>25702</v>
      </c>
      <c r="F81" s="126">
        <v>12023</v>
      </c>
      <c r="G81" s="48">
        <v>3633</v>
      </c>
      <c r="H81" s="97">
        <v>16262</v>
      </c>
      <c r="I81" s="98">
        <v>1919</v>
      </c>
      <c r="J81" s="99">
        <v>0</v>
      </c>
      <c r="K81" s="100">
        <v>14108</v>
      </c>
      <c r="L81" s="101">
        <v>4174</v>
      </c>
      <c r="M81" s="403">
        <v>20965</v>
      </c>
      <c r="N81" s="60"/>
      <c r="O81" s="106"/>
      <c r="P81" s="121">
        <v>3551</v>
      </c>
      <c r="Q81" s="105"/>
      <c r="R81" s="89">
        <v>4150</v>
      </c>
      <c r="S81" s="90"/>
      <c r="T81" s="90">
        <v>1910</v>
      </c>
    </row>
    <row r="82" spans="1:21">
      <c r="A82" s="40" t="s">
        <v>162</v>
      </c>
      <c r="B82" s="40"/>
      <c r="C82" s="41">
        <v>840</v>
      </c>
      <c r="D82" s="94">
        <v>41194</v>
      </c>
      <c r="E82" s="96">
        <v>29729</v>
      </c>
      <c r="F82" s="126">
        <v>14104</v>
      </c>
      <c r="G82" s="48">
        <v>4268</v>
      </c>
      <c r="H82" s="97">
        <v>19432</v>
      </c>
      <c r="I82" s="98">
        <v>2060</v>
      </c>
      <c r="J82" s="99">
        <v>0</v>
      </c>
      <c r="K82" s="100">
        <v>14108</v>
      </c>
      <c r="L82" s="101">
        <v>4350</v>
      </c>
      <c r="M82" s="403">
        <v>26871</v>
      </c>
      <c r="N82" s="60"/>
      <c r="O82" s="106"/>
      <c r="P82" s="121">
        <v>3275</v>
      </c>
      <c r="Q82" s="105"/>
      <c r="R82" s="89">
        <v>3075</v>
      </c>
      <c r="S82" s="90"/>
      <c r="T82" s="90">
        <v>2167</v>
      </c>
    </row>
    <row r="83" spans="1:21">
      <c r="A83" s="40" t="s">
        <v>163</v>
      </c>
      <c r="B83" s="40" t="s">
        <v>222</v>
      </c>
      <c r="C83" s="41">
        <v>850</v>
      </c>
      <c r="D83" s="94">
        <v>41027</v>
      </c>
      <c r="E83" s="96">
        <v>22037</v>
      </c>
      <c r="F83" s="126">
        <v>12549</v>
      </c>
      <c r="G83" s="48">
        <v>2926</v>
      </c>
      <c r="H83" s="97">
        <v>15930</v>
      </c>
      <c r="I83" s="98">
        <v>1597</v>
      </c>
      <c r="J83" s="99">
        <v>7540</v>
      </c>
      <c r="K83" s="100">
        <v>14108</v>
      </c>
      <c r="L83" s="101">
        <v>3145</v>
      </c>
      <c r="M83" s="403">
        <v>12208</v>
      </c>
      <c r="N83" s="60"/>
      <c r="O83" s="106"/>
      <c r="P83" s="121">
        <v>3407</v>
      </c>
      <c r="Q83" s="105"/>
      <c r="R83" s="89">
        <v>3075</v>
      </c>
      <c r="S83" s="90"/>
      <c r="T83" s="90">
        <v>2611</v>
      </c>
    </row>
    <row r="84" spans="1:21">
      <c r="A84" s="40" t="s">
        <v>164</v>
      </c>
      <c r="B84" s="40"/>
      <c r="C84" s="41">
        <v>860</v>
      </c>
      <c r="D84" s="94">
        <v>95327</v>
      </c>
      <c r="E84" s="96">
        <v>44982</v>
      </c>
      <c r="F84" s="126">
        <v>37104</v>
      </c>
      <c r="G84" s="48">
        <v>5974</v>
      </c>
      <c r="H84" s="97">
        <v>47098</v>
      </c>
      <c r="I84" s="98">
        <v>2158</v>
      </c>
      <c r="J84" s="99">
        <v>0</v>
      </c>
      <c r="K84" s="100">
        <v>14108</v>
      </c>
      <c r="L84" s="101">
        <v>7313</v>
      </c>
      <c r="M84" s="403">
        <v>30385</v>
      </c>
      <c r="N84" s="60"/>
      <c r="O84" s="106"/>
      <c r="P84" s="121">
        <v>7008</v>
      </c>
      <c r="Q84" s="105"/>
      <c r="R84" s="89">
        <v>4308</v>
      </c>
      <c r="S84" s="90"/>
      <c r="T84" s="90">
        <v>6182</v>
      </c>
    </row>
    <row r="85" spans="1:21">
      <c r="A85" s="40" t="s">
        <v>165</v>
      </c>
      <c r="B85" s="40" t="s">
        <v>222</v>
      </c>
      <c r="C85" s="41">
        <v>870</v>
      </c>
      <c r="D85" s="94">
        <v>26484</v>
      </c>
      <c r="E85" s="96">
        <v>16305</v>
      </c>
      <c r="F85" s="126">
        <v>7854</v>
      </c>
      <c r="G85" s="48">
        <v>2166</v>
      </c>
      <c r="H85" s="97">
        <v>9969</v>
      </c>
      <c r="I85" s="98">
        <v>1459</v>
      </c>
      <c r="J85" s="99">
        <v>4719</v>
      </c>
      <c r="K85" s="100">
        <v>14108</v>
      </c>
      <c r="L85" s="101">
        <v>2475</v>
      </c>
      <c r="M85" s="403">
        <v>21896</v>
      </c>
      <c r="N85" s="60"/>
      <c r="O85" s="106"/>
      <c r="P85" s="121">
        <v>3275</v>
      </c>
      <c r="Q85" s="105"/>
      <c r="R85" s="89">
        <v>5049</v>
      </c>
      <c r="S85" s="90"/>
      <c r="T85" s="90">
        <v>1604</v>
      </c>
    </row>
    <row r="86" spans="1:21">
      <c r="A86" s="40" t="s">
        <v>166</v>
      </c>
      <c r="B86" s="40" t="s">
        <v>222</v>
      </c>
      <c r="C86" s="41">
        <v>880</v>
      </c>
      <c r="D86" s="94">
        <v>104037</v>
      </c>
      <c r="E86" s="96">
        <v>45764</v>
      </c>
      <c r="F86" s="126">
        <v>40805</v>
      </c>
      <c r="G86" s="48">
        <v>6078</v>
      </c>
      <c r="H86" s="97">
        <v>51796</v>
      </c>
      <c r="I86" s="98">
        <v>1823</v>
      </c>
      <c r="J86" s="99">
        <v>24517</v>
      </c>
      <c r="K86" s="100">
        <v>14108</v>
      </c>
      <c r="L86" s="101">
        <v>0</v>
      </c>
      <c r="M86" s="403">
        <v>44000</v>
      </c>
      <c r="N86" s="60"/>
      <c r="O86" s="106"/>
      <c r="P86" s="121">
        <v>8078</v>
      </c>
      <c r="Q86" s="105"/>
      <c r="R86" s="89">
        <v>5542</v>
      </c>
      <c r="S86" s="90"/>
      <c r="T86" s="90">
        <v>0</v>
      </c>
    </row>
    <row r="87" spans="1:21">
      <c r="A87" s="57" t="s">
        <v>167</v>
      </c>
      <c r="B87" s="40"/>
      <c r="C87" s="41">
        <v>885</v>
      </c>
      <c r="D87" s="94">
        <v>0</v>
      </c>
      <c r="E87" s="96">
        <v>0</v>
      </c>
      <c r="F87" s="126">
        <v>0</v>
      </c>
      <c r="G87" s="48">
        <v>0</v>
      </c>
      <c r="H87" s="97">
        <v>0</v>
      </c>
      <c r="I87" s="98">
        <v>0</v>
      </c>
      <c r="J87" s="99">
        <v>0</v>
      </c>
      <c r="K87" s="100">
        <v>0</v>
      </c>
      <c r="L87" s="101">
        <v>0</v>
      </c>
      <c r="M87" s="403">
        <v>0</v>
      </c>
      <c r="N87" s="60"/>
      <c r="O87" s="106"/>
      <c r="P87" s="121">
        <v>0</v>
      </c>
      <c r="Q87" s="105"/>
      <c r="R87" s="89">
        <v>0</v>
      </c>
      <c r="S87" s="90"/>
      <c r="T87" s="90">
        <v>0</v>
      </c>
      <c r="U87" s="73" t="s">
        <v>237</v>
      </c>
    </row>
    <row r="88" spans="1:21">
      <c r="A88" s="40" t="s">
        <v>168</v>
      </c>
      <c r="B88" s="40" t="s">
        <v>222</v>
      </c>
      <c r="C88" s="41">
        <v>890</v>
      </c>
      <c r="D88" s="94">
        <v>335894</v>
      </c>
      <c r="E88" s="96">
        <v>118122</v>
      </c>
      <c r="F88" s="126">
        <v>127907</v>
      </c>
      <c r="G88" s="48">
        <v>15687</v>
      </c>
      <c r="H88" s="97">
        <v>172646</v>
      </c>
      <c r="I88" s="98">
        <v>3034</v>
      </c>
      <c r="J88" s="99">
        <v>0</v>
      </c>
      <c r="K88" s="100">
        <v>16719</v>
      </c>
      <c r="L88" s="101">
        <v>18696</v>
      </c>
      <c r="M88" s="403">
        <v>105277</v>
      </c>
      <c r="N88" s="60"/>
      <c r="O88" s="106"/>
      <c r="P88" s="121">
        <v>0</v>
      </c>
      <c r="Q88" s="105"/>
      <c r="R88" s="89">
        <v>0</v>
      </c>
      <c r="S88" s="90"/>
      <c r="T88" s="90">
        <v>0</v>
      </c>
      <c r="U88" s="73" t="s">
        <v>238</v>
      </c>
    </row>
    <row r="89" spans="1:21">
      <c r="A89" s="42" t="s">
        <v>169</v>
      </c>
      <c r="B89" s="42" t="s">
        <v>222</v>
      </c>
      <c r="C89" s="41">
        <v>900</v>
      </c>
      <c r="D89" s="94">
        <v>59009</v>
      </c>
      <c r="E89" s="96">
        <v>40558</v>
      </c>
      <c r="F89" s="126">
        <v>21673</v>
      </c>
      <c r="G89" s="48">
        <v>5824</v>
      </c>
      <c r="H89" s="97">
        <v>29882</v>
      </c>
      <c r="I89" s="98">
        <v>2238</v>
      </c>
      <c r="J89" s="99">
        <v>0</v>
      </c>
      <c r="K89" s="100">
        <v>14108</v>
      </c>
      <c r="L89" s="101">
        <v>6095</v>
      </c>
      <c r="M89" s="403">
        <v>40007</v>
      </c>
      <c r="N89" s="60"/>
      <c r="O89" s="106"/>
      <c r="P89" s="121">
        <v>5426</v>
      </c>
      <c r="Q89" s="105"/>
      <c r="R89" s="89">
        <v>3075</v>
      </c>
      <c r="S89" s="90"/>
      <c r="T89" s="90">
        <v>4025</v>
      </c>
    </row>
    <row r="90" spans="1:21">
      <c r="A90" s="42" t="s">
        <v>170</v>
      </c>
      <c r="B90" s="42" t="s">
        <v>222</v>
      </c>
      <c r="C90" s="41">
        <v>910</v>
      </c>
      <c r="D90" s="94">
        <v>37072</v>
      </c>
      <c r="E90" s="96">
        <v>25012</v>
      </c>
      <c r="F90" s="126">
        <v>12352</v>
      </c>
      <c r="G90" s="48">
        <v>3322</v>
      </c>
      <c r="H90" s="97">
        <v>15679</v>
      </c>
      <c r="I90" s="98">
        <v>3072</v>
      </c>
      <c r="J90" s="99">
        <v>0</v>
      </c>
      <c r="K90" s="100">
        <v>14108</v>
      </c>
      <c r="L90" s="101">
        <v>3318</v>
      </c>
      <c r="M90" s="403">
        <v>22502</v>
      </c>
      <c r="N90" s="60"/>
      <c r="O90" s="106"/>
      <c r="P90" s="121">
        <v>3275</v>
      </c>
      <c r="Q90" s="105"/>
      <c r="R90" s="89">
        <v>3000</v>
      </c>
      <c r="S90" s="90"/>
      <c r="T90" s="90">
        <v>2086</v>
      </c>
    </row>
    <row r="91" spans="1:21">
      <c r="A91" s="42" t="s">
        <v>171</v>
      </c>
      <c r="B91" s="42"/>
      <c r="C91" s="41">
        <v>920</v>
      </c>
      <c r="D91" s="94">
        <v>134343</v>
      </c>
      <c r="E91" s="96">
        <v>83343</v>
      </c>
      <c r="F91" s="126">
        <v>53682</v>
      </c>
      <c r="G91" s="48">
        <v>11068</v>
      </c>
      <c r="H91" s="97">
        <v>74236</v>
      </c>
      <c r="I91" s="98">
        <v>2465</v>
      </c>
      <c r="J91" s="99">
        <v>0</v>
      </c>
      <c r="K91" s="100">
        <v>16719</v>
      </c>
      <c r="L91" s="101">
        <v>12215</v>
      </c>
      <c r="M91" s="403">
        <v>76629</v>
      </c>
      <c r="N91" s="60"/>
      <c r="O91" s="106"/>
      <c r="P91" s="121">
        <v>9727</v>
      </c>
      <c r="Q91" s="105"/>
      <c r="R91" s="89">
        <v>4308</v>
      </c>
      <c r="S91" s="90"/>
      <c r="T91" s="90">
        <v>9959</v>
      </c>
    </row>
    <row r="92" spans="1:21">
      <c r="A92" s="40" t="s">
        <v>172</v>
      </c>
      <c r="B92" s="40" t="s">
        <v>222</v>
      </c>
      <c r="C92" s="41">
        <v>930</v>
      </c>
      <c r="D92" s="95">
        <v>0</v>
      </c>
      <c r="E92" s="96">
        <v>0</v>
      </c>
      <c r="F92" s="126">
        <v>0</v>
      </c>
      <c r="G92" s="48">
        <v>0</v>
      </c>
      <c r="H92" s="97">
        <v>0</v>
      </c>
      <c r="I92" s="98">
        <v>0</v>
      </c>
      <c r="J92" s="99">
        <v>0</v>
      </c>
      <c r="K92" s="100">
        <v>0</v>
      </c>
      <c r="L92" s="101">
        <v>7384</v>
      </c>
      <c r="M92" s="403">
        <v>0</v>
      </c>
      <c r="N92" s="60"/>
      <c r="O92" s="106"/>
      <c r="P92" s="121">
        <v>0</v>
      </c>
      <c r="Q92" s="105"/>
      <c r="R92" s="89">
        <v>0</v>
      </c>
      <c r="S92" s="90"/>
      <c r="T92" s="90"/>
      <c r="U92" s="73" t="s">
        <v>228</v>
      </c>
    </row>
    <row r="93" spans="1:21">
      <c r="A93" s="356"/>
      <c r="B93" s="356"/>
      <c r="C93" s="357"/>
      <c r="D93" s="358"/>
      <c r="E93" s="358"/>
      <c r="F93" s="358"/>
      <c r="G93" s="358"/>
      <c r="H93" s="358"/>
      <c r="I93" s="358"/>
      <c r="J93" s="358"/>
      <c r="K93" s="358"/>
      <c r="L93" s="358"/>
      <c r="M93" s="358"/>
      <c r="N93" s="358"/>
      <c r="O93" s="358"/>
      <c r="P93" s="358"/>
      <c r="Q93" s="358"/>
      <c r="R93" s="358"/>
      <c r="S93" s="356"/>
      <c r="T93" s="356"/>
    </row>
    <row r="94" spans="1:21">
      <c r="A94" s="356" t="s">
        <v>239</v>
      </c>
      <c r="B94" s="356">
        <f>COUNTIF(B4:B92,"X")</f>
        <v>68</v>
      </c>
      <c r="C94" s="357"/>
      <c r="D94" s="359">
        <f t="shared" ref="D94:S94" si="0">SUM(D4:D92)</f>
        <v>4508884</v>
      </c>
      <c r="E94" s="359">
        <f t="shared" si="0"/>
        <v>2529174</v>
      </c>
      <c r="F94" s="359">
        <f t="shared" si="0"/>
        <v>1651497</v>
      </c>
      <c r="G94" s="359">
        <f t="shared" si="0"/>
        <v>344153</v>
      </c>
      <c r="H94" s="359">
        <f t="shared" si="0"/>
        <v>2047764</v>
      </c>
      <c r="I94" s="359">
        <f t="shared" si="0"/>
        <v>132664</v>
      </c>
      <c r="J94" s="359">
        <f t="shared" si="0"/>
        <v>503785</v>
      </c>
      <c r="K94" s="359">
        <f t="shared" si="0"/>
        <v>1023445</v>
      </c>
      <c r="L94" s="359">
        <f t="shared" si="0"/>
        <v>371809</v>
      </c>
      <c r="M94" s="359">
        <f t="shared" si="0"/>
        <v>2014318</v>
      </c>
      <c r="N94" s="359">
        <f t="shared" si="0"/>
        <v>0</v>
      </c>
      <c r="O94" s="359">
        <f t="shared" si="0"/>
        <v>0</v>
      </c>
      <c r="P94" s="359">
        <f t="shared" si="0"/>
        <v>374959</v>
      </c>
      <c r="Q94" s="359">
        <f t="shared" si="0"/>
        <v>0</v>
      </c>
      <c r="R94" s="359">
        <f t="shared" si="0"/>
        <v>281042</v>
      </c>
      <c r="S94" s="359">
        <f t="shared" si="0"/>
        <v>0</v>
      </c>
      <c r="T94" s="359">
        <f t="shared" ref="T94" si="1">SUM(T4:T92)</f>
        <v>228018</v>
      </c>
    </row>
    <row r="95" spans="1:21">
      <c r="A95" s="356"/>
      <c r="B95" s="356"/>
      <c r="C95" s="357"/>
      <c r="D95" s="356"/>
      <c r="E95" s="356"/>
      <c r="F95" s="360"/>
      <c r="G95" s="356"/>
      <c r="H95" s="356"/>
      <c r="I95" s="356"/>
      <c r="J95" s="356"/>
      <c r="K95" s="356"/>
      <c r="L95" s="356"/>
      <c r="M95" s="356"/>
      <c r="N95" s="356"/>
      <c r="O95" s="356"/>
      <c r="P95" s="356"/>
      <c r="Q95" s="356"/>
      <c r="R95" s="356"/>
      <c r="S95" s="356"/>
      <c r="T95" s="356"/>
    </row>
    <row r="96" spans="1:21">
      <c r="A96" s="356"/>
      <c r="B96" s="356"/>
      <c r="C96" s="357"/>
      <c r="D96" s="361"/>
      <c r="E96" s="361"/>
      <c r="F96" s="361"/>
      <c r="G96" s="361"/>
      <c r="H96" s="361"/>
      <c r="I96" s="361"/>
      <c r="J96" s="361"/>
      <c r="K96" s="361"/>
      <c r="L96" s="361"/>
      <c r="M96" s="361"/>
      <c r="N96" s="361"/>
      <c r="O96" s="361"/>
      <c r="P96" s="361"/>
      <c r="Q96" s="361"/>
      <c r="R96" s="361"/>
      <c r="S96" s="361"/>
      <c r="T96" s="361"/>
    </row>
    <row r="97" spans="1:20">
      <c r="A97" s="356"/>
      <c r="B97" s="356"/>
      <c r="C97" s="357"/>
      <c r="D97" s="356"/>
      <c r="E97" s="356"/>
      <c r="F97" s="360"/>
      <c r="G97" s="356"/>
      <c r="H97" s="356"/>
      <c r="I97" s="356"/>
      <c r="J97" s="356"/>
      <c r="K97" s="356"/>
      <c r="L97" s="356"/>
      <c r="M97" s="356"/>
      <c r="N97" s="356"/>
      <c r="O97" s="356"/>
      <c r="P97" s="356"/>
      <c r="Q97" s="356"/>
      <c r="R97" s="356"/>
      <c r="S97" s="356"/>
      <c r="T97" s="356"/>
    </row>
    <row r="98" spans="1:20">
      <c r="A98" s="356"/>
      <c r="B98" s="356"/>
      <c r="C98" s="357"/>
      <c r="D98" s="356"/>
      <c r="E98" s="356"/>
      <c r="F98" s="360"/>
      <c r="G98" s="356"/>
      <c r="H98" s="356"/>
      <c r="I98" s="356"/>
      <c r="J98" s="356"/>
      <c r="K98" s="356"/>
      <c r="L98" s="356"/>
      <c r="M98" s="356"/>
      <c r="N98" s="356"/>
      <c r="O98" s="356"/>
      <c r="P98" s="356"/>
      <c r="Q98" s="356"/>
      <c r="R98" s="356"/>
      <c r="S98" s="356"/>
      <c r="T98" s="356"/>
    </row>
    <row r="99" spans="1:20">
      <c r="A99" s="356"/>
      <c r="B99" s="356"/>
      <c r="C99" s="357"/>
      <c r="D99" s="356"/>
      <c r="E99" s="356"/>
      <c r="F99" s="360"/>
      <c r="G99" s="356"/>
      <c r="H99" s="356"/>
      <c r="I99" s="356"/>
      <c r="J99" s="356"/>
      <c r="K99" s="356"/>
      <c r="L99" s="356"/>
      <c r="M99" s="356"/>
      <c r="N99" s="356"/>
      <c r="O99" s="356"/>
      <c r="P99" s="356"/>
      <c r="Q99" s="356"/>
      <c r="R99" s="356"/>
      <c r="S99" s="356"/>
      <c r="T99" s="356"/>
    </row>
    <row r="100" spans="1:20">
      <c r="A100" s="356"/>
      <c r="B100" s="356"/>
      <c r="C100" s="357"/>
      <c r="D100" s="356"/>
      <c r="E100" s="356"/>
      <c r="F100" s="360"/>
      <c r="G100" s="356"/>
      <c r="H100" s="356"/>
      <c r="I100" s="356"/>
      <c r="J100" s="356"/>
      <c r="K100" s="356"/>
      <c r="L100" s="356"/>
      <c r="M100" s="356"/>
      <c r="N100" s="356"/>
      <c r="O100" s="356"/>
      <c r="P100" s="356"/>
      <c r="Q100" s="356"/>
      <c r="R100" s="356"/>
      <c r="S100" s="356"/>
      <c r="T100" s="356"/>
    </row>
    <row r="101" spans="1:20">
      <c r="A101" s="356"/>
      <c r="B101" s="356"/>
      <c r="C101" s="357"/>
      <c r="D101" s="356"/>
      <c r="E101" s="356"/>
      <c r="F101" s="360"/>
      <c r="G101" s="356"/>
      <c r="H101" s="356"/>
      <c r="I101" s="356"/>
      <c r="J101" s="356"/>
      <c r="K101" s="356"/>
      <c r="L101" s="356"/>
      <c r="M101" s="356"/>
      <c r="N101" s="356"/>
      <c r="O101" s="356"/>
      <c r="P101" s="356"/>
      <c r="Q101" s="356"/>
      <c r="R101" s="356"/>
      <c r="S101" s="356"/>
      <c r="T101" s="356"/>
    </row>
    <row r="102" spans="1:20">
      <c r="A102" s="356"/>
      <c r="B102" s="356"/>
      <c r="C102" s="357"/>
      <c r="D102" s="356"/>
      <c r="E102" s="356"/>
      <c r="F102" s="360"/>
      <c r="G102" s="356"/>
      <c r="H102" s="356"/>
      <c r="I102" s="356"/>
      <c r="J102" s="356"/>
      <c r="K102" s="356"/>
      <c r="L102" s="356"/>
      <c r="M102" s="356"/>
      <c r="N102" s="356"/>
      <c r="O102" s="356"/>
      <c r="P102" s="356"/>
      <c r="Q102" s="356"/>
      <c r="R102" s="356"/>
      <c r="S102" s="356"/>
      <c r="T102" s="356"/>
    </row>
    <row r="103" spans="1:20">
      <c r="A103" s="356"/>
      <c r="B103" s="356"/>
      <c r="C103" s="357"/>
      <c r="D103" s="356"/>
      <c r="E103" s="356"/>
      <c r="F103" s="360"/>
      <c r="G103" s="356"/>
      <c r="H103" s="356"/>
      <c r="I103" s="356"/>
      <c r="J103" s="356"/>
      <c r="K103" s="356"/>
      <c r="L103" s="356"/>
      <c r="M103" s="356"/>
      <c r="N103" s="356"/>
      <c r="O103" s="356"/>
      <c r="P103" s="356"/>
      <c r="Q103" s="356"/>
      <c r="R103" s="356"/>
      <c r="S103" s="356"/>
      <c r="T103" s="356"/>
    </row>
    <row r="104" spans="1:20">
      <c r="A104" s="356"/>
      <c r="B104" s="356"/>
      <c r="C104" s="357"/>
      <c r="D104" s="356"/>
      <c r="E104" s="356"/>
      <c r="F104" s="360"/>
      <c r="G104" s="356"/>
      <c r="H104" s="356"/>
      <c r="I104" s="356"/>
      <c r="J104" s="356"/>
      <c r="K104" s="356"/>
      <c r="L104" s="356"/>
      <c r="M104" s="356"/>
      <c r="N104" s="356"/>
      <c r="O104" s="356"/>
      <c r="P104" s="356"/>
      <c r="Q104" s="362"/>
      <c r="R104" s="362"/>
      <c r="S104" s="362"/>
      <c r="T104" s="362"/>
    </row>
    <row r="105" spans="1:20">
      <c r="A105" s="356"/>
      <c r="B105" s="356"/>
      <c r="C105" s="357"/>
      <c r="D105" s="356"/>
      <c r="E105" s="356"/>
      <c r="F105" s="360"/>
      <c r="G105" s="356"/>
      <c r="H105" s="356"/>
      <c r="I105" s="356"/>
      <c r="J105" s="356"/>
      <c r="K105" s="356"/>
      <c r="L105" s="356"/>
      <c r="M105" s="356"/>
      <c r="N105" s="356"/>
      <c r="O105" s="356"/>
      <c r="P105" s="356"/>
      <c r="Q105" s="356"/>
      <c r="R105" s="356"/>
      <c r="S105" s="356"/>
      <c r="T105" s="356"/>
    </row>
    <row r="106" spans="1:20">
      <c r="A106" s="356"/>
      <c r="B106" s="356"/>
      <c r="C106" s="357"/>
      <c r="D106" s="356"/>
      <c r="E106" s="356"/>
      <c r="F106" s="360"/>
      <c r="G106" s="356"/>
      <c r="H106" s="356"/>
      <c r="I106" s="356"/>
      <c r="J106" s="356"/>
      <c r="K106" s="356"/>
      <c r="L106" s="356"/>
      <c r="M106" s="356"/>
      <c r="N106" s="356"/>
      <c r="O106" s="356"/>
      <c r="P106" s="356"/>
      <c r="Q106" s="356"/>
      <c r="R106" s="356"/>
      <c r="S106" s="356"/>
      <c r="T106" s="356"/>
    </row>
    <row r="107" spans="1:20">
      <c r="A107" s="356"/>
      <c r="B107" s="356"/>
      <c r="C107" s="357"/>
      <c r="D107" s="356"/>
      <c r="E107" s="356"/>
      <c r="F107" s="360"/>
      <c r="G107" s="356"/>
      <c r="H107" s="356"/>
      <c r="I107" s="356"/>
      <c r="J107" s="356"/>
      <c r="K107" s="356"/>
      <c r="L107" s="356"/>
      <c r="M107" s="356"/>
      <c r="N107" s="356"/>
      <c r="O107" s="356"/>
      <c r="P107" s="356"/>
      <c r="Q107" s="356"/>
      <c r="R107" s="356"/>
      <c r="S107" s="356"/>
      <c r="T107" s="356"/>
    </row>
    <row r="108" spans="1:20">
      <c r="A108" s="356"/>
      <c r="B108" s="356"/>
      <c r="C108" s="357"/>
      <c r="D108" s="356"/>
      <c r="E108" s="356"/>
      <c r="F108" s="360"/>
      <c r="G108" s="356"/>
      <c r="H108" s="356"/>
      <c r="I108" s="356"/>
      <c r="J108" s="356"/>
      <c r="K108" s="356"/>
      <c r="L108" s="356"/>
      <c r="M108" s="356"/>
      <c r="N108" s="356"/>
      <c r="O108" s="356"/>
      <c r="P108" s="356"/>
      <c r="Q108" s="356"/>
      <c r="R108" s="356"/>
      <c r="S108" s="356"/>
      <c r="T108" s="356"/>
    </row>
    <row r="109" spans="1:20">
      <c r="A109" s="356"/>
      <c r="B109" s="356"/>
      <c r="C109" s="357"/>
      <c r="D109" s="356"/>
      <c r="E109" s="356"/>
      <c r="F109" s="360"/>
      <c r="G109" s="356"/>
      <c r="H109" s="356"/>
      <c r="I109" s="356"/>
      <c r="J109" s="356"/>
      <c r="K109" s="356"/>
      <c r="L109" s="356"/>
      <c r="M109" s="356"/>
      <c r="N109" s="356"/>
      <c r="O109" s="356"/>
      <c r="P109" s="356"/>
      <c r="Q109" s="356"/>
      <c r="R109" s="356"/>
      <c r="S109" s="356"/>
      <c r="T109" s="356"/>
    </row>
    <row r="110" spans="1:20">
      <c r="A110" s="356"/>
      <c r="B110" s="356"/>
      <c r="C110" s="357"/>
      <c r="D110" s="356"/>
      <c r="E110" s="356"/>
      <c r="F110" s="360"/>
      <c r="G110" s="356"/>
      <c r="H110" s="356"/>
      <c r="I110" s="356"/>
      <c r="J110" s="356"/>
      <c r="K110" s="356"/>
      <c r="L110" s="356"/>
      <c r="M110" s="356"/>
      <c r="N110" s="356"/>
      <c r="O110" s="356"/>
      <c r="P110" s="356"/>
      <c r="Q110" s="356"/>
      <c r="R110" s="356"/>
      <c r="S110" s="356"/>
      <c r="T110" s="356"/>
    </row>
    <row r="111" spans="1:20">
      <c r="A111" s="356"/>
      <c r="B111" s="356"/>
      <c r="C111" s="357"/>
      <c r="D111" s="356"/>
      <c r="E111" s="356"/>
      <c r="F111" s="360"/>
      <c r="G111" s="356"/>
      <c r="H111" s="356"/>
      <c r="I111" s="356"/>
      <c r="J111" s="356"/>
      <c r="K111" s="356"/>
      <c r="L111" s="356"/>
      <c r="M111" s="356"/>
      <c r="N111" s="356"/>
      <c r="O111" s="356"/>
      <c r="P111" s="356"/>
      <c r="Q111" s="356"/>
      <c r="R111" s="356"/>
      <c r="S111" s="356"/>
      <c r="T111" s="356"/>
    </row>
    <row r="112" spans="1:20">
      <c r="A112" s="356"/>
      <c r="B112" s="356"/>
      <c r="C112" s="357"/>
      <c r="D112" s="356"/>
      <c r="E112" s="356"/>
      <c r="F112" s="360"/>
      <c r="G112" s="356"/>
      <c r="H112" s="356"/>
      <c r="I112" s="356"/>
      <c r="J112" s="356"/>
      <c r="K112" s="356"/>
      <c r="L112" s="356"/>
      <c r="M112" s="356"/>
      <c r="N112" s="356"/>
      <c r="O112" s="356"/>
      <c r="P112" s="356"/>
      <c r="Q112" s="356"/>
      <c r="R112" s="356"/>
      <c r="S112" s="356"/>
      <c r="T112" s="356"/>
    </row>
    <row r="113" spans="1:20">
      <c r="A113" s="356"/>
      <c r="B113" s="356"/>
      <c r="C113" s="357"/>
      <c r="D113" s="356"/>
      <c r="E113" s="356"/>
      <c r="F113" s="360"/>
      <c r="G113" s="356"/>
      <c r="H113" s="356"/>
      <c r="I113" s="356"/>
      <c r="J113" s="356"/>
      <c r="K113" s="356"/>
      <c r="L113" s="356"/>
      <c r="M113" s="356"/>
      <c r="N113" s="356"/>
      <c r="O113" s="356"/>
      <c r="P113" s="356"/>
      <c r="Q113" s="356"/>
      <c r="R113" s="356"/>
      <c r="S113" s="356"/>
      <c r="T113" s="356"/>
    </row>
    <row r="114" spans="1:20">
      <c r="A114" s="356"/>
      <c r="B114" s="356"/>
      <c r="C114" s="357"/>
      <c r="D114" s="356"/>
      <c r="E114" s="356"/>
      <c r="F114" s="360"/>
      <c r="G114" s="356"/>
      <c r="H114" s="356"/>
      <c r="I114" s="356"/>
      <c r="J114" s="356"/>
      <c r="K114" s="356"/>
      <c r="L114" s="356"/>
      <c r="M114" s="356"/>
      <c r="N114" s="356"/>
      <c r="O114" s="356"/>
      <c r="P114" s="356"/>
      <c r="Q114" s="356"/>
      <c r="R114" s="356"/>
      <c r="S114" s="356"/>
      <c r="T114" s="356"/>
    </row>
    <row r="115" spans="1:20">
      <c r="A115" s="356"/>
      <c r="B115" s="356"/>
      <c r="C115" s="357"/>
      <c r="D115" s="356"/>
      <c r="E115" s="356"/>
      <c r="F115" s="360"/>
      <c r="G115" s="356"/>
      <c r="H115" s="356"/>
      <c r="I115" s="356"/>
      <c r="J115" s="356"/>
      <c r="K115" s="356"/>
      <c r="L115" s="356"/>
      <c r="M115" s="356"/>
      <c r="N115" s="356"/>
      <c r="O115" s="356"/>
      <c r="P115" s="356"/>
      <c r="Q115" s="356"/>
      <c r="R115" s="356"/>
      <c r="S115" s="356"/>
      <c r="T115" s="356"/>
    </row>
    <row r="116" spans="1:20">
      <c r="A116" s="356"/>
      <c r="B116" s="356"/>
      <c r="C116" s="357"/>
      <c r="D116" s="356"/>
      <c r="E116" s="356"/>
      <c r="F116" s="360"/>
      <c r="G116" s="356"/>
      <c r="H116" s="356"/>
      <c r="I116" s="356"/>
      <c r="J116" s="356"/>
      <c r="K116" s="356"/>
      <c r="L116" s="356"/>
      <c r="M116" s="356"/>
      <c r="N116" s="356"/>
      <c r="O116" s="356"/>
      <c r="P116" s="356"/>
      <c r="Q116" s="356"/>
      <c r="R116" s="356"/>
      <c r="S116" s="356"/>
      <c r="T116" s="356"/>
    </row>
    <row r="117" spans="1:20">
      <c r="A117" s="356"/>
      <c r="B117" s="356"/>
      <c r="C117" s="357"/>
      <c r="D117" s="356"/>
      <c r="E117" s="356"/>
      <c r="F117" s="360"/>
      <c r="G117" s="356"/>
      <c r="H117" s="356"/>
      <c r="I117" s="356"/>
      <c r="J117" s="356"/>
      <c r="K117" s="356"/>
      <c r="L117" s="356"/>
      <c r="M117" s="356"/>
      <c r="N117" s="356"/>
      <c r="O117" s="356"/>
      <c r="P117" s="356"/>
      <c r="Q117" s="356"/>
      <c r="R117" s="356"/>
      <c r="S117" s="356"/>
      <c r="T117" s="356"/>
    </row>
    <row r="118" spans="1:20">
      <c r="A118" s="356"/>
      <c r="B118" s="356"/>
      <c r="C118" s="357"/>
      <c r="D118" s="356"/>
      <c r="E118" s="356"/>
      <c r="F118" s="360"/>
      <c r="G118" s="356"/>
      <c r="H118" s="356"/>
      <c r="I118" s="356"/>
      <c r="J118" s="356"/>
      <c r="K118" s="356"/>
      <c r="L118" s="356"/>
      <c r="M118" s="356"/>
      <c r="N118" s="356"/>
      <c r="O118" s="356"/>
      <c r="P118" s="356"/>
      <c r="Q118" s="362"/>
      <c r="R118" s="362"/>
      <c r="S118" s="362"/>
      <c r="T118" s="362"/>
    </row>
    <row r="119" spans="1:20">
      <c r="A119" s="356"/>
      <c r="B119" s="356"/>
      <c r="C119" s="357"/>
      <c r="D119" s="356"/>
      <c r="E119" s="356"/>
      <c r="F119" s="360"/>
      <c r="G119" s="356"/>
      <c r="H119" s="356"/>
      <c r="I119" s="356"/>
      <c r="J119" s="356"/>
      <c r="K119" s="356"/>
      <c r="L119" s="356"/>
      <c r="M119" s="356"/>
      <c r="N119" s="356"/>
      <c r="O119" s="356"/>
      <c r="P119" s="356"/>
      <c r="Q119" s="356"/>
      <c r="R119" s="356"/>
      <c r="S119" s="356"/>
      <c r="T119" s="356"/>
    </row>
    <row r="120" spans="1:20">
      <c r="A120" s="356"/>
      <c r="B120" s="356"/>
      <c r="C120" s="357"/>
      <c r="D120" s="356"/>
      <c r="E120" s="356"/>
      <c r="F120" s="360"/>
      <c r="G120" s="356"/>
      <c r="H120" s="356"/>
      <c r="I120" s="356"/>
      <c r="J120" s="356"/>
      <c r="K120" s="356"/>
      <c r="L120" s="356"/>
      <c r="M120" s="356"/>
      <c r="N120" s="356"/>
      <c r="O120" s="356"/>
      <c r="P120" s="356"/>
      <c r="Q120" s="356"/>
      <c r="R120" s="356"/>
      <c r="S120" s="356"/>
      <c r="T120" s="356"/>
    </row>
  </sheetData>
  <sheetProtection password="C3C4" sheet="1" objects="1" scenarios="1"/>
  <sortState ref="A4:X92">
    <sortCondition ref="A4:A92"/>
  </sortState>
  <customSheetViews>
    <customSheetView guid="{89953FCB-456A-4C2D-8912-B30825F750D3}" fitToPage="1" state="hidden">
      <pane xSplit="1" ySplit="3" topLeftCell="Q65" activePane="bottomRight" state="frozen"/>
      <selection pane="bottomRight" activeCell="T13" sqref="T12:T13"/>
      <pageMargins left="0" right="0" top="0" bottom="0" header="0" footer="0"/>
      <printOptions headings="1" gridLines="1"/>
      <pageSetup scale="51" fitToWidth="8" fitToHeight="2" orientation="portrait" r:id="rId1"/>
      <headerFooter alignWithMargins="0"/>
    </customSheetView>
  </customSheetViews>
  <mergeCells count="2">
    <mergeCell ref="S2:S3"/>
    <mergeCell ref="T2:T3"/>
  </mergeCells>
  <phoneticPr fontId="4" type="noConversion"/>
  <printOptions headings="1" gridLines="1"/>
  <pageMargins left="0.75" right="0.75" top="1" bottom="1" header="0.5" footer="0.5"/>
  <pageSetup scale="51" fitToWidth="8" fitToHeight="2" orientation="portrait" r:id="rId2"/>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1:R56"/>
  <sheetViews>
    <sheetView showGridLines="0" workbookViewId="0">
      <selection sqref="A1:C1"/>
    </sheetView>
  </sheetViews>
  <sheetFormatPr defaultRowHeight="15" customHeight="1"/>
  <cols>
    <col min="1" max="1" width="31.6640625" customWidth="1"/>
    <col min="2" max="12" width="12.6640625" customWidth="1"/>
    <col min="13" max="13" width="15.6640625" customWidth="1"/>
    <col min="14" max="14" width="9.109375" style="15"/>
  </cols>
  <sheetData>
    <row r="1" spans="1:14" s="15" customFormat="1" ht="15" customHeight="1">
      <c r="A1" s="601" t="str">
        <f>IF(N1="x","End of Year approaching, please address errors listed below.","")</f>
        <v/>
      </c>
      <c r="B1" s="601"/>
      <c r="C1" s="601"/>
      <c r="K1" s="604" t="s">
        <v>1336</v>
      </c>
      <c r="L1" s="572"/>
      <c r="M1" s="397"/>
      <c r="N1" s="167" t="str">
        <f>IF(AND(G5="x",OR(M43="x",M44="x",M45="x",M46="x",M47="x",M50="x",M51="x",M52="x")),"x","")</f>
        <v/>
      </c>
    </row>
    <row r="2" spans="1:14" s="15" customFormat="1" ht="15" customHeight="1">
      <c r="A2" s="601" t="str">
        <f>IF(N2="x","Please address the errors listed below.","")</f>
        <v/>
      </c>
      <c r="B2" s="574"/>
      <c r="F2" s="156" t="s">
        <v>1121</v>
      </c>
      <c r="K2" s="603" t="s">
        <v>1337</v>
      </c>
      <c r="L2" s="572"/>
      <c r="M2" s="397"/>
      <c r="N2" s="167" t="str">
        <f>IF(G5="x","",IF(OR(M50="x",M51="x",M43="x"),"x",""))</f>
        <v/>
      </c>
    </row>
    <row r="3" spans="1:14" s="15" customFormat="1" ht="15" customHeight="1">
      <c r="A3" s="17" t="s">
        <v>1123</v>
      </c>
      <c r="E3" s="608" t="str">
        <f>CAUTAU!A99</f>
        <v>Menominee Tribe</v>
      </c>
      <c r="F3" s="608"/>
      <c r="G3" s="167" t="str">
        <f>LOOKUP(E3,Allocations!A4:A92,Allocations!B4:B92)</f>
        <v>X</v>
      </c>
      <c r="K3" s="634" t="s">
        <v>1338</v>
      </c>
      <c r="L3" s="635"/>
      <c r="N3" s="62"/>
    </row>
    <row r="4" spans="1:14" s="15" customFormat="1" ht="15" customHeight="1">
      <c r="A4" s="17" t="s">
        <v>1125</v>
      </c>
      <c r="D4" s="608" t="e">
        <f>LOOKUP(E5,Date,'Addl Info'!J21:J33)</f>
        <v>#N/A</v>
      </c>
      <c r="E4" s="609"/>
      <c r="F4" s="609"/>
      <c r="G4" s="62"/>
    </row>
    <row r="5" spans="1:14" s="15" customFormat="1" ht="15" customHeight="1">
      <c r="A5" s="17" t="s">
        <v>1126</v>
      </c>
      <c r="E5" s="608" t="str">
        <f>CAUTAU!A100</f>
        <v/>
      </c>
      <c r="F5" s="608"/>
      <c r="G5" s="62" t="str">
        <f>IF(OR(E5="June  2018",E5="August 2018",E5="September 2018",E5="Final Submission 2018"),"x","")</f>
        <v/>
      </c>
    </row>
    <row r="6" spans="1:14" s="15" customFormat="1" ht="15" customHeight="1">
      <c r="A6" s="17" t="s">
        <v>1127</v>
      </c>
      <c r="F6" s="152" t="e">
        <f>IF(D4="Non-Submission Period",0,LOOKUP(E3,CAUTAU,Allocations!S4:S92))</f>
        <v>#N/A</v>
      </c>
    </row>
    <row r="7" spans="1:14" ht="15" customHeight="1">
      <c r="A7" s="606"/>
      <c r="B7" s="607"/>
      <c r="C7" s="607"/>
      <c r="D7" s="607"/>
      <c r="E7" s="607"/>
      <c r="F7" s="607"/>
      <c r="G7" s="607"/>
      <c r="H7" s="607"/>
      <c r="I7" s="607"/>
      <c r="J7" s="607"/>
      <c r="K7" s="607"/>
      <c r="L7" s="607"/>
      <c r="M7" s="397"/>
    </row>
    <row r="8" spans="1:14" s="2" customFormat="1" ht="15" customHeight="1" thickBot="1">
      <c r="A8" s="1"/>
      <c r="B8" s="641" t="s">
        <v>1339</v>
      </c>
      <c r="C8" s="573"/>
      <c r="D8" s="573"/>
      <c r="E8" s="574"/>
      <c r="F8" s="574"/>
      <c r="G8" s="574"/>
      <c r="H8" s="574"/>
      <c r="I8" s="574"/>
      <c r="J8" s="574"/>
    </row>
    <row r="9" spans="1:14" ht="77.099999999999994" customHeight="1">
      <c r="A9" s="187" t="s">
        <v>1128</v>
      </c>
      <c r="B9" s="179" t="s">
        <v>1300</v>
      </c>
      <c r="C9" s="202"/>
      <c r="D9" s="179" t="s">
        <v>1131</v>
      </c>
      <c r="E9" s="179" t="s">
        <v>1132</v>
      </c>
      <c r="F9" s="189" t="s">
        <v>358</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23"/>
      <c r="D21" s="323"/>
      <c r="E21" s="323"/>
      <c r="F21" s="306"/>
      <c r="G21" s="323"/>
      <c r="H21" s="323"/>
      <c r="I21" s="323"/>
      <c r="J21" s="323"/>
      <c r="K21" s="323"/>
      <c r="L21" s="324"/>
      <c r="M21" s="308">
        <f>C21+D21+E21+F21+G21+H21+I21+J21+K21+L21-K21-I21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B10+B11+B12+B13+B14+B15+B16+B17+B18+B19+B20+B21+B22+B23+B24+B25+B26+B27+B28+B29+B30</f>
        <v>0</v>
      </c>
      <c r="C35" s="316">
        <f t="shared" ref="C35:L35" si="0">C10+C11+C12+C13+C14+C15+C16+C17+C18+C19+C20+C21+C22+C23+C24+C25+C26+C27+C28+C29+C30</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17">
        <f>C35+D35+E35+F35+G35+H35+I35+J35+K35+L35-I35-K35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397"/>
      <c r="B38" s="12"/>
      <c r="C38" s="12"/>
      <c r="D38" s="12"/>
      <c r="E38" s="12"/>
      <c r="F38" s="12"/>
      <c r="G38" s="12"/>
      <c r="H38" s="12"/>
      <c r="I38" s="12"/>
      <c r="J38" s="12"/>
      <c r="K38" s="12"/>
      <c r="L38" s="12"/>
      <c r="M38" s="62"/>
    </row>
    <row r="39" spans="1:14" ht="12.9" customHeight="1">
      <c r="A39" s="397"/>
      <c r="B39" s="12"/>
      <c r="C39" s="12"/>
      <c r="D39" s="12"/>
      <c r="E39" s="12"/>
      <c r="F39" s="12"/>
      <c r="G39" s="12"/>
      <c r="H39" s="12"/>
      <c r="I39" s="12"/>
      <c r="J39" s="12"/>
      <c r="K39" s="12"/>
      <c r="L39" s="12"/>
      <c r="M39" s="62"/>
    </row>
    <row r="40" spans="1:14" ht="12.9" customHeight="1">
      <c r="A40" s="397"/>
      <c r="B40" s="12"/>
      <c r="C40" s="12"/>
      <c r="D40" s="12"/>
      <c r="E40" s="12"/>
      <c r="F40" s="12"/>
      <c r="G40" s="12"/>
      <c r="H40" s="12"/>
      <c r="I40" s="12"/>
      <c r="J40" s="12"/>
      <c r="K40" s="12"/>
      <c r="L40" s="12"/>
      <c r="M40" s="62"/>
    </row>
    <row r="41" spans="1:14" ht="12.9" customHeight="1">
      <c r="A41" s="397"/>
      <c r="B41" s="12"/>
      <c r="C41" s="12"/>
      <c r="D41" s="12"/>
      <c r="E41" s="12"/>
      <c r="F41" s="12"/>
      <c r="G41" s="12"/>
      <c r="H41" s="12"/>
      <c r="I41" s="12"/>
      <c r="J41" s="12"/>
      <c r="K41" s="12"/>
      <c r="L41" s="12"/>
      <c r="M41" s="62"/>
    </row>
    <row r="42" spans="1:14" ht="12.9" customHeight="1">
      <c r="A42" s="397"/>
      <c r="B42" s="12"/>
      <c r="C42" s="12"/>
      <c r="D42" s="12"/>
      <c r="E42" s="12"/>
      <c r="F42" s="12"/>
      <c r="G42" s="12"/>
      <c r="H42" s="12"/>
      <c r="I42" s="12"/>
      <c r="J42" s="12"/>
      <c r="K42" s="12"/>
      <c r="L42" s="12"/>
      <c r="M42" s="168"/>
    </row>
    <row r="43" spans="1:14" ht="12.9" customHeight="1">
      <c r="A43" s="15" t="s">
        <v>1161</v>
      </c>
      <c r="B43" s="147" t="e">
        <f>(F6-F35)</f>
        <v>#N/A</v>
      </c>
      <c r="C43" s="610" t="e">
        <f>IF(F6-F35&lt;0,"Not Ok - You are over budget on expenditures.","")</f>
        <v>#N/A</v>
      </c>
      <c r="D43" s="611"/>
      <c r="E43" s="611"/>
      <c r="F43" s="574"/>
      <c r="G43" s="15"/>
      <c r="H43" s="15"/>
      <c r="I43" s="15"/>
      <c r="J43" s="15"/>
      <c r="K43" s="15"/>
      <c r="L43" s="15"/>
      <c r="M43" s="368" t="str">
        <f>IF(ISNUMBER(SEARCH("Not Ok",C43)), "X", "")</f>
        <v/>
      </c>
      <c r="N43" s="166"/>
    </row>
    <row r="44" spans="1:14" ht="12.9" customHeight="1">
      <c r="A44" s="15"/>
      <c r="B44" s="159"/>
      <c r="C44" s="601"/>
      <c r="D44" s="601"/>
      <c r="E44" s="601"/>
      <c r="F44" s="601"/>
      <c r="G44" s="601"/>
      <c r="H44" s="601"/>
      <c r="I44" s="601"/>
      <c r="J44" s="601"/>
      <c r="K44" s="601"/>
      <c r="L44" s="601"/>
      <c r="M44" s="368" t="str">
        <f t="shared" ref="M44:M52" si="1">IF(ISNUMBER(SEARCH("Not Ok",C44)), "X", "")</f>
        <v/>
      </c>
      <c r="N44" s="17"/>
    </row>
    <row r="45" spans="1:14" ht="12.9" customHeight="1">
      <c r="A45" s="15"/>
      <c r="B45" s="159"/>
      <c r="C45" s="601"/>
      <c r="D45" s="602"/>
      <c r="E45" s="602"/>
      <c r="F45" s="602"/>
      <c r="G45" s="602"/>
      <c r="H45" s="602"/>
      <c r="I45" s="602"/>
      <c r="J45" s="15"/>
      <c r="K45" s="15"/>
      <c r="L45" s="15"/>
      <c r="M45" s="368" t="str">
        <f t="shared" si="1"/>
        <v/>
      </c>
    </row>
    <row r="46" spans="1:14" ht="12.9" customHeight="1">
      <c r="A46" s="15"/>
      <c r="B46" s="159"/>
      <c r="C46" s="601"/>
      <c r="D46" s="601"/>
      <c r="E46" s="601"/>
      <c r="F46" s="601"/>
      <c r="G46" s="601"/>
      <c r="H46" s="601"/>
      <c r="I46" s="601"/>
      <c r="J46" s="601"/>
      <c r="K46" s="601"/>
      <c r="L46" s="601"/>
      <c r="M46" s="368" t="str">
        <f t="shared" si="1"/>
        <v/>
      </c>
      <c r="N46" s="17"/>
    </row>
    <row r="47" spans="1:14" ht="12.9" customHeight="1">
      <c r="A47" s="15"/>
      <c r="B47" s="147"/>
      <c r="C47" s="601"/>
      <c r="D47" s="602"/>
      <c r="E47" s="602"/>
      <c r="F47" s="602"/>
      <c r="G47" s="602"/>
      <c r="H47" s="602"/>
      <c r="I47" s="602"/>
      <c r="J47" s="15"/>
      <c r="K47" s="15"/>
      <c r="L47" s="15"/>
      <c r="M47" s="368" t="str">
        <f t="shared" si="1"/>
        <v/>
      </c>
    </row>
    <row r="48" spans="1:14" ht="12.9" customHeight="1">
      <c r="A48" s="15"/>
      <c r="B48" s="217"/>
      <c r="C48" s="15"/>
      <c r="D48" s="15"/>
      <c r="E48" s="15"/>
      <c r="F48" s="15"/>
      <c r="G48" s="15"/>
      <c r="H48" s="15"/>
      <c r="I48" s="15"/>
      <c r="J48" s="15"/>
      <c r="K48" s="15"/>
      <c r="L48" s="15"/>
      <c r="M48" s="368" t="str">
        <f t="shared" si="1"/>
        <v/>
      </c>
    </row>
    <row r="49" spans="1:18" ht="12.9" customHeight="1">
      <c r="A49" s="15"/>
      <c r="B49" s="147"/>
      <c r="C49" s="600"/>
      <c r="D49" s="600"/>
      <c r="E49" s="600"/>
      <c r="F49" s="600"/>
      <c r="G49" s="600"/>
      <c r="H49" s="600"/>
      <c r="I49" s="600"/>
      <c r="J49" s="15"/>
      <c r="K49" s="15"/>
      <c r="L49" s="15"/>
      <c r="M49" s="368" t="str">
        <f t="shared" si="1"/>
        <v/>
      </c>
      <c r="O49" s="397"/>
      <c r="P49" s="397"/>
      <c r="Q49" s="397"/>
      <c r="R49" s="397"/>
    </row>
    <row r="50" spans="1:18" s="15" customFormat="1" ht="12.9" customHeight="1">
      <c r="B50" s="227"/>
      <c r="C50" s="600"/>
      <c r="D50" s="574"/>
      <c r="E50" s="574"/>
      <c r="F50" s="574"/>
      <c r="G50" s="574"/>
      <c r="H50" s="574"/>
      <c r="I50" s="574"/>
      <c r="J50" s="574"/>
      <c r="K50" s="574"/>
      <c r="M50" s="368" t="str">
        <f t="shared" si="1"/>
        <v/>
      </c>
      <c r="N50" s="146"/>
      <c r="O50" s="146"/>
      <c r="P50" s="146"/>
      <c r="Q50" s="146"/>
      <c r="R50" s="146"/>
    </row>
    <row r="51" spans="1:18" s="15" customFormat="1" ht="12.9" customHeight="1">
      <c r="A51" s="15" t="e">
        <f>IF(B51="x","Non-Submission Period","")</f>
        <v>#N/A</v>
      </c>
      <c r="B51" s="227" t="e">
        <f>IF(AND(F35&gt;0,D4="Non-Submission Period"),"X","")</f>
        <v>#N/A</v>
      </c>
      <c r="C51" s="600" t="e">
        <f>IF(B51="x","Not Ok - You cannot claim against this contract as this is a Non-Submission Period for the contract.","")</f>
        <v>#N/A</v>
      </c>
      <c r="D51" s="574"/>
      <c r="E51" s="574"/>
      <c r="F51" s="574"/>
      <c r="G51" s="574"/>
      <c r="H51" s="574"/>
      <c r="I51" s="574"/>
      <c r="M51" s="368" t="str">
        <f t="shared" si="1"/>
        <v/>
      </c>
    </row>
    <row r="52" spans="1:18" ht="12.9" customHeight="1">
      <c r="A52" s="15"/>
      <c r="B52" s="15"/>
      <c r="C52" s="600"/>
      <c r="D52" s="574"/>
      <c r="E52" s="574"/>
      <c r="F52" s="574"/>
      <c r="G52" s="574"/>
      <c r="H52" s="574"/>
      <c r="I52" s="574"/>
      <c r="J52" s="15"/>
      <c r="K52" s="15"/>
      <c r="L52" s="15"/>
      <c r="M52" s="368" t="str">
        <f t="shared" si="1"/>
        <v/>
      </c>
      <c r="O52" s="397"/>
      <c r="P52" s="397"/>
      <c r="Q52" s="397"/>
      <c r="R52" s="397"/>
    </row>
    <row r="53" spans="1:18" ht="12.9" customHeight="1">
      <c r="A53" s="397"/>
      <c r="B53" s="397"/>
      <c r="C53" s="397"/>
      <c r="D53" s="397"/>
      <c r="E53" s="397"/>
      <c r="F53" s="397"/>
      <c r="G53" s="397"/>
      <c r="H53" s="397"/>
      <c r="I53" s="397"/>
      <c r="J53" s="397"/>
      <c r="K53" s="397"/>
      <c r="L53" s="397"/>
      <c r="M53" s="397"/>
      <c r="O53" s="397"/>
      <c r="P53" s="397"/>
      <c r="Q53" s="397"/>
      <c r="R53" s="397"/>
    </row>
    <row r="54" spans="1:18" ht="12.9" customHeight="1">
      <c r="A54" s="397"/>
      <c r="B54" s="397"/>
      <c r="C54" s="397"/>
      <c r="D54" s="397"/>
      <c r="E54" s="397"/>
      <c r="F54" s="397"/>
      <c r="G54" s="397"/>
      <c r="H54" s="397"/>
      <c r="I54" s="397"/>
      <c r="J54" s="397"/>
      <c r="K54" s="397"/>
      <c r="L54" s="397"/>
      <c r="M54" s="397"/>
      <c r="O54" s="397"/>
      <c r="P54" s="397"/>
      <c r="Q54" s="397"/>
      <c r="R54" s="397"/>
    </row>
    <row r="55" spans="1:18" ht="12.9" customHeight="1">
      <c r="A55" s="397"/>
      <c r="B55" s="397"/>
      <c r="C55" s="397"/>
      <c r="D55" s="397"/>
      <c r="E55" s="397"/>
      <c r="F55" s="397"/>
      <c r="G55" s="397"/>
      <c r="H55" s="397"/>
      <c r="I55" s="397"/>
      <c r="J55" s="397"/>
      <c r="K55" s="397"/>
      <c r="L55" s="397"/>
      <c r="M55" s="397"/>
      <c r="O55" s="397"/>
      <c r="P55" s="397"/>
      <c r="Q55" s="397"/>
      <c r="R55" s="397"/>
    </row>
    <row r="56" spans="1:18" ht="12.9" customHeight="1">
      <c r="A56" s="397"/>
      <c r="B56" s="397"/>
      <c r="C56" s="397"/>
      <c r="D56" s="397"/>
      <c r="E56" s="397"/>
      <c r="F56" s="397"/>
      <c r="G56" s="397"/>
      <c r="H56" s="397"/>
      <c r="I56" s="397"/>
      <c r="J56" s="397"/>
      <c r="K56" s="397"/>
      <c r="L56" s="397"/>
      <c r="M56" s="397"/>
      <c r="O56" s="397"/>
      <c r="P56" s="397"/>
      <c r="Q56" s="397"/>
      <c r="R56" s="397"/>
    </row>
  </sheetData>
  <sheetProtection password="C3C4" sheet="1" objects="1" scenarios="1"/>
  <customSheetViews>
    <customSheetView guid="{89953FCB-456A-4C2D-8912-B30825F750D3}" fitToPage="1" topLeftCell="A4">
      <selection activeCell="A10" sqref="A10:L10"/>
      <pageMargins left="0" right="0" top="0" bottom="0" header="0" footer="0"/>
      <pageSetup scale="82" orientation="landscape" r:id="rId1"/>
    </customSheetView>
  </customSheetViews>
  <mergeCells count="19">
    <mergeCell ref="C43:F43"/>
    <mergeCell ref="C44:L44"/>
    <mergeCell ref="A1:C1"/>
    <mergeCell ref="A2:B2"/>
    <mergeCell ref="B8:J8"/>
    <mergeCell ref="K1:L1"/>
    <mergeCell ref="K2:L2"/>
    <mergeCell ref="E3:F3"/>
    <mergeCell ref="D4:F4"/>
    <mergeCell ref="E5:F5"/>
    <mergeCell ref="A7:L7"/>
    <mergeCell ref="K3:L3"/>
    <mergeCell ref="C52:I52"/>
    <mergeCell ref="C45:I45"/>
    <mergeCell ref="C46:L46"/>
    <mergeCell ref="C47:I47"/>
    <mergeCell ref="C51:I51"/>
    <mergeCell ref="C49:I49"/>
    <mergeCell ref="C50:K50"/>
  </mergeCells>
  <conditionalFormatting sqref="B38:B41">
    <cfRule type="cellIs" dxfId="138" priority="62" stopIfTrue="1" operator="equal">
      <formula>"You cannot claim against this contract until all prior year program income has been expended."</formula>
    </cfRule>
  </conditionalFormatting>
  <conditionalFormatting sqref="M42">
    <cfRule type="cellIs" dxfId="137" priority="61" stopIfTrue="1" operator="equal">
      <formula>"You are over budget on expenditures."</formula>
    </cfRule>
  </conditionalFormatting>
  <conditionalFormatting sqref="M42">
    <cfRule type="containsText" dxfId="136" priority="60" operator="containsText" text="Not Ok">
      <formula>NOT(ISERROR(SEARCH("Not Ok",M42)))</formula>
    </cfRule>
  </conditionalFormatting>
  <conditionalFormatting sqref="G3">
    <cfRule type="containsText" dxfId="135" priority="35" stopIfTrue="1" operator="containsText" text="Not Ok">
      <formula>NOT(ISERROR(SEARCH("Not Ok",G3)))</formula>
    </cfRule>
  </conditionalFormatting>
  <conditionalFormatting sqref="G3">
    <cfRule type="containsText" dxfId="134" priority="36" stopIfTrue="1" operator="containsText" text="Not Ok">
      <formula>NOT(ISERROR(SEARCH("Not Ok",G3)))</formula>
    </cfRule>
    <cfRule type="containsText" dxfId="133" priority="37" stopIfTrue="1" operator="containsText" text="Not Ok">
      <formula>NOT(ISERROR(SEARCH("Not Ok",G3)))</formula>
    </cfRule>
  </conditionalFormatting>
  <conditionalFormatting sqref="N45:N47">
    <cfRule type="containsText" dxfId="132" priority="29" stopIfTrue="1" operator="containsText" text="Not Ok">
      <formula>NOT(ISERROR(SEARCH("Not Ok",N45)))</formula>
    </cfRule>
  </conditionalFormatting>
  <conditionalFormatting sqref="N43:N47">
    <cfRule type="containsText" dxfId="131" priority="28" operator="containsText" text="Not Ok">
      <formula>NOT(ISERROR(SEARCH("Not Ok",N43)))</formula>
    </cfRule>
  </conditionalFormatting>
  <conditionalFormatting sqref="M21">
    <cfRule type="containsText" dxfId="130" priority="15" operator="containsText" text="#">
      <formula>NOT(ISERROR(SEARCH("#",M21)))</formula>
    </cfRule>
  </conditionalFormatting>
  <conditionalFormatting sqref="B36:L36">
    <cfRule type="containsText" dxfId="129" priority="14" operator="containsText" text="Error">
      <formula>NOT(ISERROR(SEARCH("Error",B36)))</formula>
    </cfRule>
  </conditionalFormatting>
  <conditionalFormatting sqref="A36">
    <cfRule type="containsText" dxfId="128" priority="13" operator="containsText" text="Enter">
      <formula>NOT(ISERROR(SEARCH("Enter",A36)))</formula>
    </cfRule>
  </conditionalFormatting>
  <conditionalFormatting sqref="B50">
    <cfRule type="cellIs" dxfId="127" priority="12" stopIfTrue="1" operator="equal">
      <formula>"You cannot claim against this contract until all prior year program income has been expended."</formula>
    </cfRule>
  </conditionalFormatting>
  <conditionalFormatting sqref="C43:L49 C51:L52 C50:I50 L50">
    <cfRule type="containsText" dxfId="126" priority="7" operator="containsText" text="Not Ok">
      <formula>NOT(ISERROR(SEARCH("Not Ok",C43)))</formula>
    </cfRule>
  </conditionalFormatting>
  <conditionalFormatting sqref="N1">
    <cfRule type="containsText" dxfId="125" priority="6" operator="containsText" text="End">
      <formula>NOT(ISERROR(SEARCH("End",N1)))</formula>
    </cfRule>
  </conditionalFormatting>
  <conditionalFormatting sqref="N1">
    <cfRule type="containsText" dxfId="124" priority="5" operator="containsText" text="End">
      <formula>NOT(ISERROR(SEARCH("End",N1)))</formula>
    </cfRule>
  </conditionalFormatting>
  <conditionalFormatting sqref="N2">
    <cfRule type="containsText" dxfId="123" priority="4" operator="containsText" text="Please">
      <formula>NOT(ISERROR(SEARCH("Please",N2)))</formula>
    </cfRule>
  </conditionalFormatting>
  <conditionalFormatting sqref="A1">
    <cfRule type="containsText" dxfId="122" priority="3" operator="containsText" text="End">
      <formula>NOT(ISERROR(SEARCH("End",A1)))</formula>
    </cfRule>
  </conditionalFormatting>
  <conditionalFormatting sqref="A1">
    <cfRule type="containsText" dxfId="121" priority="2" operator="containsText" text="End">
      <formula>NOT(ISERROR(SEARCH("End",A1)))</formula>
    </cfRule>
  </conditionalFormatting>
  <conditionalFormatting sqref="A2:B2">
    <cfRule type="containsText" dxfId="120" priority="1" operator="containsText" text="Please">
      <formula>NOT(ISERROR(SEARCH("Please",A2)))</formula>
    </cfRule>
  </conditionalFormatting>
  <dataValidations count="2">
    <dataValidation type="whole" allowBlank="1" showInputMessage="1" showErrorMessage="1" errorTitle="Whole Number Validation" error="You must enter all dollars as whole numbers - no decimals (cents) or spaces." sqref="B19:F20 B22:F24" xr:uid="{6E64C10A-F6B4-4387-BB57-BCD886C15885}">
      <formula1>0</formula1>
      <formula2>1000000</formula2>
    </dataValidation>
    <dataValidation type="whole" allowBlank="1" showInputMessage="1" showErrorMessage="1" errorTitle="Whole Number Validation" error="You must enter all dollars as whole numbers - no decimals (cents) or spaces." sqref="B21:F21" xr:uid="{3056BAB6-CF03-4FD4-9485-8928BD613247}">
      <formula1>-1000000</formula1>
      <formula2>1000000</formula2>
    </dataValidation>
  </dataValidations>
  <pageMargins left="0.25" right="0.25" top="0.25" bottom="0.25" header="0" footer="0"/>
  <pageSetup scale="82"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1:R53"/>
  <sheetViews>
    <sheetView showGridLines="0" showRowColHeaders="0" workbookViewId="0">
      <selection sqref="A1:C1"/>
    </sheetView>
  </sheetViews>
  <sheetFormatPr defaultRowHeight="15" customHeight="1"/>
  <cols>
    <col min="1" max="1" width="26.6640625" customWidth="1"/>
    <col min="2" max="11" width="12.6640625" customWidth="1"/>
    <col min="12" max="12" width="12.44140625" bestFit="1" customWidth="1"/>
    <col min="13" max="13" width="15.6640625" customWidth="1"/>
    <col min="14" max="14" width="9.109375" style="15"/>
  </cols>
  <sheetData>
    <row r="1" spans="1:14" s="13" customFormat="1" ht="15" customHeight="1">
      <c r="A1" s="601" t="str">
        <f>IF(AND(G5="x",OR(M43="x",M44="x",M45="x",M46="x",M47="x",M50="x",M51="x",M36="x",M52="x")),"End of Year approaching, please address errors listed below.","")</f>
        <v/>
      </c>
      <c r="B1" s="601"/>
      <c r="C1" s="601"/>
      <c r="D1" s="15"/>
      <c r="E1" s="15"/>
      <c r="F1" s="15"/>
      <c r="G1" s="15"/>
      <c r="H1" s="15"/>
      <c r="I1" s="15"/>
      <c r="J1" s="15"/>
      <c r="K1" s="15"/>
      <c r="L1" s="15"/>
      <c r="M1" s="397"/>
      <c r="N1" s="167" t="str">
        <f>IF(AND(G5="x",OR(M43="x",M44="x",M45="x",M46="x",M47="x",M50="x",M51="x",M36="x",M52="x")),"x","")</f>
        <v/>
      </c>
    </row>
    <row r="2" spans="1:14" s="13" customFormat="1" ht="15" customHeight="1">
      <c r="A2" s="601" t="str">
        <f>IF(G5="x","",IF(OR(M50="x",M51="x",M36="x",M43="x",M52="x"),"Please address the errors listed below.",""))</f>
        <v/>
      </c>
      <c r="B2" s="574"/>
      <c r="C2" s="15"/>
      <c r="D2" s="15"/>
      <c r="E2" s="15"/>
      <c r="F2" s="156" t="s">
        <v>1121</v>
      </c>
      <c r="G2" s="15"/>
      <c r="H2" s="15"/>
      <c r="I2" s="15"/>
      <c r="J2" s="15"/>
      <c r="K2" s="15"/>
      <c r="L2" s="15"/>
      <c r="M2" s="397"/>
      <c r="N2" s="167" t="str">
        <f>IF(G5="x","",IF(OR(M50="x",M51="x",M36="x",M43="x",M52="x"),"x",""))</f>
        <v/>
      </c>
    </row>
    <row r="3" spans="1:14" s="13" customFormat="1" ht="15" customHeight="1">
      <c r="A3" s="17" t="s">
        <v>1123</v>
      </c>
      <c r="B3" s="15"/>
      <c r="C3" s="15"/>
      <c r="D3" s="15"/>
      <c r="E3" s="608" t="str">
        <f>CAUTAU!A99</f>
        <v>Menominee Tribe</v>
      </c>
      <c r="F3" s="608"/>
      <c r="G3" s="167" t="str">
        <f>LOOKUP(E3,Allocations!A4:A92,Allocations!B4:B92)</f>
        <v>X</v>
      </c>
      <c r="H3" s="15"/>
      <c r="I3" s="15"/>
      <c r="J3" s="15"/>
      <c r="K3" s="15"/>
      <c r="L3" s="15"/>
      <c r="M3" s="15"/>
      <c r="N3" s="62"/>
    </row>
    <row r="4" spans="1:14" s="13" customFormat="1" ht="15" customHeight="1">
      <c r="A4" s="17" t="s">
        <v>1125</v>
      </c>
      <c r="B4" s="15"/>
      <c r="C4" s="15"/>
      <c r="D4" s="608" t="e">
        <f>LOOKUP(E5,Date,'Addl Info'!B21:B33)</f>
        <v>#N/A</v>
      </c>
      <c r="E4" s="609"/>
      <c r="F4" s="609"/>
      <c r="G4" s="62"/>
      <c r="H4" s="15"/>
      <c r="I4" s="15"/>
      <c r="J4" s="15"/>
      <c r="K4" s="15"/>
      <c r="L4" s="15"/>
      <c r="M4" s="15"/>
      <c r="N4" s="15"/>
    </row>
    <row r="5" spans="1:14" s="13" customFormat="1" ht="15" customHeight="1">
      <c r="A5" s="17" t="s">
        <v>1126</v>
      </c>
      <c r="B5" s="15"/>
      <c r="C5" s="15"/>
      <c r="D5" s="15"/>
      <c r="E5" s="608" t="str">
        <f>CAUTAU!A100</f>
        <v/>
      </c>
      <c r="F5" s="608"/>
      <c r="G5" s="62" t="str">
        <f>IF(OR(E5="October 2018",E5="November 2018",E5="December 2018",E5="Final Submission 2018"),"x","")</f>
        <v/>
      </c>
      <c r="H5" s="15"/>
      <c r="I5" s="15"/>
      <c r="J5" s="15"/>
      <c r="K5" s="15"/>
      <c r="L5" s="15"/>
      <c r="M5" s="15"/>
      <c r="N5" s="15"/>
    </row>
    <row r="6" spans="1:14" s="13" customFormat="1" ht="15" customHeight="1">
      <c r="A6" s="17"/>
      <c r="B6" s="15"/>
      <c r="C6" s="15"/>
      <c r="D6" s="15"/>
      <c r="E6" s="15"/>
      <c r="F6" s="152"/>
      <c r="G6" s="15"/>
      <c r="H6" s="15"/>
      <c r="I6" s="15"/>
      <c r="J6" s="15"/>
      <c r="K6" s="15"/>
      <c r="L6" s="15"/>
      <c r="M6" s="15"/>
      <c r="N6" s="15"/>
    </row>
    <row r="7" spans="1:14" ht="15" customHeight="1">
      <c r="A7" s="642" t="s">
        <v>1340</v>
      </c>
      <c r="B7" s="575"/>
      <c r="C7" s="575"/>
      <c r="D7" s="575"/>
      <c r="E7" s="575"/>
      <c r="F7" s="575"/>
      <c r="G7" s="575"/>
      <c r="H7" s="575"/>
      <c r="I7" s="575"/>
      <c r="J7" s="575"/>
      <c r="K7" s="575"/>
      <c r="L7" s="575"/>
      <c r="M7" s="397"/>
    </row>
    <row r="8" spans="1:14" s="2" customFormat="1" ht="15" customHeight="1" thickBot="1">
      <c r="A8" s="1"/>
      <c r="B8" s="643" t="s">
        <v>1341</v>
      </c>
      <c r="C8" s="643"/>
      <c r="D8" s="643"/>
      <c r="E8" s="643"/>
      <c r="F8" s="643"/>
      <c r="G8" s="643"/>
      <c r="H8" s="643"/>
      <c r="I8" s="643"/>
      <c r="J8" s="643"/>
      <c r="K8" s="643"/>
      <c r="L8" s="643"/>
    </row>
    <row r="9" spans="1:14" ht="77.099999999999994" customHeight="1" thickTop="1">
      <c r="A9" s="4" t="s">
        <v>1128</v>
      </c>
      <c r="B9" s="92" t="s">
        <v>1342</v>
      </c>
      <c r="C9" s="92" t="s">
        <v>1343</v>
      </c>
      <c r="D9" s="92" t="s">
        <v>1131</v>
      </c>
      <c r="E9" s="92" t="s">
        <v>1132</v>
      </c>
      <c r="F9" s="6" t="s">
        <v>1133</v>
      </c>
      <c r="G9" s="6" t="s">
        <v>1134</v>
      </c>
      <c r="H9" s="6" t="s">
        <v>1135</v>
      </c>
      <c r="I9" s="6" t="s">
        <v>321</v>
      </c>
      <c r="J9" s="6" t="s">
        <v>325</v>
      </c>
      <c r="K9" s="6" t="s">
        <v>1136</v>
      </c>
      <c r="L9" s="353" t="s">
        <v>1137</v>
      </c>
      <c r="M9" s="154" t="s">
        <v>331</v>
      </c>
    </row>
    <row r="10" spans="1:14" ht="12.9" customHeight="1">
      <c r="A10" s="181" t="s">
        <v>1138</v>
      </c>
      <c r="B10" s="323"/>
      <c r="C10" s="323"/>
      <c r="D10" s="323"/>
      <c r="E10" s="323"/>
      <c r="F10" s="306"/>
      <c r="G10" s="306"/>
      <c r="H10" s="306"/>
      <c r="I10" s="306"/>
      <c r="J10" s="306"/>
      <c r="K10" s="306"/>
      <c r="L10" s="307"/>
      <c r="M10" s="308">
        <f>C10+D10+E10+F10+G10+H10+I10+J10+K10+L10-K10-I10</f>
        <v>0</v>
      </c>
      <c r="N10" s="225"/>
    </row>
    <row r="11" spans="1:14" ht="12.9" customHeight="1">
      <c r="A11" s="181" t="s">
        <v>1139</v>
      </c>
      <c r="B11" s="323"/>
      <c r="C11" s="323"/>
      <c r="D11" s="323"/>
      <c r="E11" s="323"/>
      <c r="F11" s="306"/>
      <c r="G11" s="306"/>
      <c r="H11" s="306"/>
      <c r="I11" s="306"/>
      <c r="J11" s="306"/>
      <c r="K11" s="306"/>
      <c r="L11" s="307"/>
      <c r="M11" s="308">
        <f t="shared" ref="M11:M26" si="0">C11+D11+E11+F11+G11+H11+I11+J11+K11+L11-K11-I11</f>
        <v>0</v>
      </c>
      <c r="N11" s="225"/>
    </row>
    <row r="12" spans="1:14" ht="12.9" customHeight="1">
      <c r="A12" s="181" t="s">
        <v>1140</v>
      </c>
      <c r="B12" s="323"/>
      <c r="C12" s="323"/>
      <c r="D12" s="323"/>
      <c r="E12" s="323"/>
      <c r="F12" s="306"/>
      <c r="G12" s="306"/>
      <c r="H12" s="306"/>
      <c r="I12" s="306"/>
      <c r="J12" s="306"/>
      <c r="K12" s="306"/>
      <c r="L12" s="307"/>
      <c r="M12" s="308">
        <f t="shared" si="0"/>
        <v>0</v>
      </c>
      <c r="N12" s="225"/>
    </row>
    <row r="13" spans="1:14" ht="12.9" customHeight="1">
      <c r="A13" s="181" t="s">
        <v>1141</v>
      </c>
      <c r="B13" s="323"/>
      <c r="C13" s="323"/>
      <c r="D13" s="323"/>
      <c r="E13" s="323"/>
      <c r="F13" s="306"/>
      <c r="G13" s="306"/>
      <c r="H13" s="306"/>
      <c r="I13" s="306"/>
      <c r="J13" s="306"/>
      <c r="K13" s="306"/>
      <c r="L13" s="307"/>
      <c r="M13" s="308">
        <f t="shared" si="0"/>
        <v>0</v>
      </c>
      <c r="N13" s="225"/>
    </row>
    <row r="14" spans="1:14" ht="12.9" customHeight="1">
      <c r="A14" s="181" t="s">
        <v>1142</v>
      </c>
      <c r="B14" s="323"/>
      <c r="C14" s="323"/>
      <c r="D14" s="323"/>
      <c r="E14" s="323"/>
      <c r="F14" s="306"/>
      <c r="G14" s="306"/>
      <c r="H14" s="306"/>
      <c r="I14" s="306"/>
      <c r="J14" s="306"/>
      <c r="K14" s="306"/>
      <c r="L14" s="307"/>
      <c r="M14" s="308">
        <f t="shared" si="0"/>
        <v>0</v>
      </c>
      <c r="N14" s="225"/>
    </row>
    <row r="15" spans="1:14" ht="12.9" customHeight="1">
      <c r="A15" s="181" t="s">
        <v>1143</v>
      </c>
      <c r="B15" s="323"/>
      <c r="C15" s="323"/>
      <c r="D15" s="323"/>
      <c r="E15" s="323"/>
      <c r="F15" s="306"/>
      <c r="G15" s="306"/>
      <c r="H15" s="306"/>
      <c r="I15" s="306"/>
      <c r="J15" s="306"/>
      <c r="K15" s="306"/>
      <c r="L15" s="307"/>
      <c r="M15" s="308">
        <f t="shared" si="0"/>
        <v>0</v>
      </c>
      <c r="N15" s="225"/>
    </row>
    <row r="16" spans="1:14" ht="12.9" customHeight="1">
      <c r="A16" s="181" t="s">
        <v>1144</v>
      </c>
      <c r="B16" s="323"/>
      <c r="C16" s="323"/>
      <c r="D16" s="323"/>
      <c r="E16" s="323"/>
      <c r="F16" s="306"/>
      <c r="G16" s="306"/>
      <c r="H16" s="306"/>
      <c r="I16" s="306"/>
      <c r="J16" s="306"/>
      <c r="K16" s="306"/>
      <c r="L16" s="307"/>
      <c r="M16" s="308">
        <f t="shared" si="0"/>
        <v>0</v>
      </c>
      <c r="N16" s="225"/>
    </row>
    <row r="17" spans="1:14" ht="12.9" customHeight="1">
      <c r="A17" s="181" t="s">
        <v>1145</v>
      </c>
      <c r="B17" s="323"/>
      <c r="C17" s="323"/>
      <c r="D17" s="323"/>
      <c r="E17" s="323"/>
      <c r="F17" s="306"/>
      <c r="G17" s="306"/>
      <c r="H17" s="306"/>
      <c r="I17" s="306"/>
      <c r="J17" s="306"/>
      <c r="K17" s="306"/>
      <c r="L17" s="307"/>
      <c r="M17" s="308">
        <f t="shared" si="0"/>
        <v>0</v>
      </c>
      <c r="N17" s="225"/>
    </row>
    <row r="18" spans="1:14" ht="12.9" customHeight="1">
      <c r="A18" s="181" t="s">
        <v>1146</v>
      </c>
      <c r="B18" s="323"/>
      <c r="C18" s="323"/>
      <c r="D18" s="323"/>
      <c r="E18" s="323"/>
      <c r="F18" s="306"/>
      <c r="G18" s="306"/>
      <c r="H18" s="306"/>
      <c r="I18" s="306"/>
      <c r="J18" s="306"/>
      <c r="K18" s="306"/>
      <c r="L18" s="307"/>
      <c r="M18" s="308">
        <f t="shared" si="0"/>
        <v>0</v>
      </c>
      <c r="N18" s="225"/>
    </row>
    <row r="19" spans="1:14" ht="12.9" customHeight="1">
      <c r="A19" s="181" t="s">
        <v>1194</v>
      </c>
      <c r="B19" s="323"/>
      <c r="C19" s="323"/>
      <c r="D19" s="323"/>
      <c r="E19" s="323"/>
      <c r="F19" s="306"/>
      <c r="G19" s="306"/>
      <c r="H19" s="306"/>
      <c r="I19" s="306"/>
      <c r="J19" s="306"/>
      <c r="K19" s="306"/>
      <c r="L19" s="307"/>
      <c r="M19" s="308">
        <f t="shared" si="0"/>
        <v>0</v>
      </c>
      <c r="N19" s="225"/>
    </row>
    <row r="20" spans="1:14" ht="12.9" customHeight="1">
      <c r="A20" s="181" t="s">
        <v>1195</v>
      </c>
      <c r="B20" s="323"/>
      <c r="C20" s="323"/>
      <c r="D20" s="323"/>
      <c r="E20" s="323"/>
      <c r="F20" s="306"/>
      <c r="G20" s="306"/>
      <c r="H20" s="306"/>
      <c r="I20" s="306"/>
      <c r="J20" s="306"/>
      <c r="K20" s="306"/>
      <c r="L20" s="307"/>
      <c r="M20" s="308">
        <f t="shared" si="0"/>
        <v>0</v>
      </c>
      <c r="N20" s="225"/>
    </row>
    <row r="21" spans="1:14" ht="12.9" customHeight="1">
      <c r="A21" s="181" t="s">
        <v>1149</v>
      </c>
      <c r="B21" s="323"/>
      <c r="C21" s="323"/>
      <c r="D21" s="323"/>
      <c r="E21" s="323"/>
      <c r="F21" s="306"/>
      <c r="G21" s="306"/>
      <c r="H21" s="306"/>
      <c r="I21" s="306"/>
      <c r="J21" s="306"/>
      <c r="K21" s="306"/>
      <c r="L21" s="307"/>
      <c r="M21" s="308">
        <f t="shared" si="0"/>
        <v>0</v>
      </c>
      <c r="N21" s="225"/>
    </row>
    <row r="22" spans="1:14" ht="12.9" customHeight="1">
      <c r="A22" s="181" t="s">
        <v>1150</v>
      </c>
      <c r="B22" s="323"/>
      <c r="C22" s="323"/>
      <c r="D22" s="323"/>
      <c r="E22" s="323"/>
      <c r="F22" s="306"/>
      <c r="G22" s="306"/>
      <c r="H22" s="306"/>
      <c r="I22" s="306"/>
      <c r="J22" s="306"/>
      <c r="K22" s="306"/>
      <c r="L22" s="307"/>
      <c r="M22" s="308">
        <f t="shared" si="0"/>
        <v>0</v>
      </c>
      <c r="N22" s="225"/>
    </row>
    <row r="23" spans="1:14" ht="12.9" customHeight="1">
      <c r="A23" s="181" t="s">
        <v>1151</v>
      </c>
      <c r="B23" s="323"/>
      <c r="C23" s="323"/>
      <c r="D23" s="323"/>
      <c r="E23" s="323"/>
      <c r="F23" s="306"/>
      <c r="G23" s="306"/>
      <c r="H23" s="306"/>
      <c r="I23" s="306"/>
      <c r="J23" s="306"/>
      <c r="K23" s="306"/>
      <c r="L23" s="307"/>
      <c r="M23" s="308">
        <f t="shared" si="0"/>
        <v>0</v>
      </c>
      <c r="N23" s="225"/>
    </row>
    <row r="24" spans="1:14" ht="12.9" customHeight="1">
      <c r="A24" s="181" t="s">
        <v>1152</v>
      </c>
      <c r="B24" s="323"/>
      <c r="C24" s="323"/>
      <c r="D24" s="323"/>
      <c r="E24" s="323"/>
      <c r="F24" s="306"/>
      <c r="G24" s="306"/>
      <c r="H24" s="306"/>
      <c r="I24" s="306"/>
      <c r="J24" s="306"/>
      <c r="K24" s="306"/>
      <c r="L24" s="307"/>
      <c r="M24" s="308">
        <f t="shared" si="0"/>
        <v>0</v>
      </c>
      <c r="N24" s="225"/>
    </row>
    <row r="25" spans="1:14" ht="12.9" customHeight="1">
      <c r="A25" s="198" t="s">
        <v>1153</v>
      </c>
      <c r="B25" s="323"/>
      <c r="C25" s="323"/>
      <c r="D25" s="323"/>
      <c r="E25" s="323"/>
      <c r="F25" s="312">
        <f>'Other Services (2)'!F35</f>
        <v>0</v>
      </c>
      <c r="G25" s="312">
        <f>'Other Services (2)'!G35</f>
        <v>0</v>
      </c>
      <c r="H25" s="312">
        <f>'Other Services (2)'!H35</f>
        <v>0</v>
      </c>
      <c r="I25" s="312">
        <f>'Other Services (2)'!I35</f>
        <v>0</v>
      </c>
      <c r="J25" s="312">
        <f>'Other Services (2)'!J35</f>
        <v>0</v>
      </c>
      <c r="K25" s="312">
        <f>'Other Services (2)'!K35</f>
        <v>0</v>
      </c>
      <c r="L25" s="312">
        <f>'Other Services (2)'!L35</f>
        <v>0</v>
      </c>
      <c r="M25" s="308">
        <f t="shared" si="0"/>
        <v>0</v>
      </c>
      <c r="N25" s="225"/>
    </row>
    <row r="26" spans="1:14" ht="12.9" customHeight="1">
      <c r="A26" s="199" t="s">
        <v>1154</v>
      </c>
      <c r="B26" s="323"/>
      <c r="C26" s="323"/>
      <c r="D26" s="323"/>
      <c r="E26" s="323"/>
      <c r="F26" s="312">
        <f>'Other Services (2)'!F17</f>
        <v>0</v>
      </c>
      <c r="G26" s="312">
        <f>'Other Services (2)'!G17</f>
        <v>0</v>
      </c>
      <c r="H26" s="312">
        <f>'Other Services (2)'!H17</f>
        <v>0</v>
      </c>
      <c r="I26" s="312">
        <f>'Other Services (2)'!I17</f>
        <v>0</v>
      </c>
      <c r="J26" s="312">
        <f>'Other Services (2)'!J17</f>
        <v>0</v>
      </c>
      <c r="K26" s="312">
        <f>'Other Services (2)'!K17</f>
        <v>0</v>
      </c>
      <c r="L26" s="312">
        <f>'Other Services (2)'!L17</f>
        <v>0</v>
      </c>
      <c r="M26" s="308">
        <f t="shared" si="0"/>
        <v>0</v>
      </c>
      <c r="N26" s="225"/>
    </row>
    <row r="27" spans="1:14" ht="12.9" customHeight="1">
      <c r="A27" s="211" t="s">
        <v>1344</v>
      </c>
      <c r="B27" s="323"/>
      <c r="C27" s="323"/>
      <c r="D27" s="323"/>
      <c r="E27" s="323"/>
      <c r="F27" s="323"/>
      <c r="G27" s="323"/>
      <c r="H27" s="323"/>
      <c r="I27" s="323"/>
      <c r="J27" s="323"/>
      <c r="K27" s="323"/>
      <c r="L27" s="324"/>
      <c r="M27" s="311"/>
      <c r="N27" s="225"/>
    </row>
    <row r="28" spans="1:14" ht="12.9" customHeight="1">
      <c r="A28" s="211" t="s">
        <v>1345</v>
      </c>
      <c r="B28" s="323"/>
      <c r="C28" s="323"/>
      <c r="D28" s="323"/>
      <c r="E28" s="323"/>
      <c r="F28" s="323"/>
      <c r="G28" s="323"/>
      <c r="H28" s="323"/>
      <c r="I28" s="323"/>
      <c r="J28" s="323"/>
      <c r="K28" s="323"/>
      <c r="L28" s="324"/>
      <c r="M28" s="311"/>
      <c r="N28" s="225"/>
    </row>
    <row r="29" spans="1:14" ht="12.9" customHeight="1">
      <c r="A29" s="181"/>
      <c r="B29" s="323"/>
      <c r="C29" s="323"/>
      <c r="D29" s="323"/>
      <c r="E29" s="323"/>
      <c r="F29" s="323"/>
      <c r="G29" s="323"/>
      <c r="H29" s="323"/>
      <c r="I29" s="323"/>
      <c r="J29" s="323"/>
      <c r="K29" s="323"/>
      <c r="L29" s="324"/>
      <c r="M29" s="311"/>
      <c r="N29" s="225"/>
    </row>
    <row r="30" spans="1:14" ht="12.9" customHeight="1">
      <c r="A30" s="181"/>
      <c r="B30" s="323"/>
      <c r="C30" s="323"/>
      <c r="D30" s="323"/>
      <c r="E30" s="323"/>
      <c r="F30" s="323"/>
      <c r="G30" s="323"/>
      <c r="H30" s="323"/>
      <c r="I30" s="323"/>
      <c r="J30" s="323"/>
      <c r="K30" s="323"/>
      <c r="L30" s="324"/>
      <c r="M30" s="311"/>
      <c r="N30" s="225"/>
    </row>
    <row r="31" spans="1:14" ht="12.9" customHeight="1">
      <c r="A31" s="181"/>
      <c r="B31" s="323"/>
      <c r="C31" s="323"/>
      <c r="D31" s="323"/>
      <c r="E31" s="323"/>
      <c r="F31" s="323"/>
      <c r="G31" s="323"/>
      <c r="H31" s="323"/>
      <c r="I31" s="323"/>
      <c r="J31" s="323"/>
      <c r="K31" s="323"/>
      <c r="L31" s="324"/>
      <c r="M31" s="311"/>
      <c r="N31" s="225"/>
    </row>
    <row r="32" spans="1:14" ht="12.9" customHeight="1">
      <c r="A32" s="181"/>
      <c r="B32" s="323"/>
      <c r="C32" s="323"/>
      <c r="D32" s="323"/>
      <c r="E32" s="323"/>
      <c r="F32" s="323"/>
      <c r="G32" s="323"/>
      <c r="H32" s="323"/>
      <c r="I32" s="323"/>
      <c r="J32" s="323"/>
      <c r="K32" s="323"/>
      <c r="L32" s="324"/>
      <c r="M32" s="311"/>
      <c r="N32" s="225"/>
    </row>
    <row r="33" spans="1:14" ht="12.9" customHeight="1">
      <c r="A33" s="181"/>
      <c r="B33" s="323"/>
      <c r="C33" s="323"/>
      <c r="D33" s="323"/>
      <c r="E33" s="323"/>
      <c r="F33" s="323"/>
      <c r="G33" s="323"/>
      <c r="H33" s="323"/>
      <c r="I33" s="323"/>
      <c r="J33" s="323"/>
      <c r="K33" s="323"/>
      <c r="L33" s="324"/>
      <c r="M33" s="311"/>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B10+B11+B12+B13+B14+B15+B16+B17+B18+B19+B20+B21+B22+B23+B24+B25+B26+B27+B28+B29+B30</f>
        <v>0</v>
      </c>
      <c r="C35" s="316">
        <f t="shared" ref="C35:L35" si="1">C10+C11+C12+C13+C14+C15+C16+C17+C18+C19+C20+C21+C22+C23+C24+C25+C26+C27+C28+C29+C30</f>
        <v>0</v>
      </c>
      <c r="D35" s="316">
        <f t="shared" si="1"/>
        <v>0</v>
      </c>
      <c r="E35" s="316">
        <f t="shared" si="1"/>
        <v>0</v>
      </c>
      <c r="F35" s="316">
        <f>F10+F11+F12+F13+F14+F15+F16+F17+F18+F19+F20+F21+F22+F23+F24+F25+F26+F27+F28+F29+F30</f>
        <v>0</v>
      </c>
      <c r="G35" s="316">
        <f t="shared" si="1"/>
        <v>0</v>
      </c>
      <c r="H35" s="316">
        <f t="shared" si="1"/>
        <v>0</v>
      </c>
      <c r="I35" s="316">
        <f t="shared" si="1"/>
        <v>0</v>
      </c>
      <c r="J35" s="316">
        <f t="shared" si="1"/>
        <v>0</v>
      </c>
      <c r="K35" s="316">
        <f t="shared" si="1"/>
        <v>0</v>
      </c>
      <c r="L35" s="316">
        <f t="shared" si="1"/>
        <v>0</v>
      </c>
      <c r="M35" s="317">
        <f>C35+D35+E35+F35+G35+H35+I35+J35+K35+L35-I35-K35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A38" s="397"/>
      <c r="B38" s="397"/>
      <c r="C38" s="397"/>
      <c r="D38" s="397"/>
      <c r="E38" s="397"/>
      <c r="F38" s="397"/>
      <c r="G38" s="397"/>
      <c r="H38" s="397"/>
      <c r="I38" s="397"/>
      <c r="J38" s="397"/>
      <c r="K38" s="397"/>
      <c r="L38" s="397"/>
      <c r="M38" s="62"/>
    </row>
    <row r="39" spans="1:14" ht="12.9" customHeight="1">
      <c r="A39" s="397"/>
      <c r="B39" s="397"/>
      <c r="C39" s="397"/>
      <c r="D39" s="397"/>
      <c r="E39" s="397"/>
      <c r="F39" s="397"/>
      <c r="G39" s="397"/>
      <c r="H39" s="397"/>
      <c r="I39" s="397"/>
      <c r="J39" s="397"/>
      <c r="K39" s="397"/>
      <c r="L39" s="397"/>
      <c r="M39" s="62"/>
    </row>
    <row r="40" spans="1:14" ht="12.9" customHeight="1">
      <c r="A40" s="397"/>
      <c r="B40" s="397"/>
      <c r="C40" s="397"/>
      <c r="D40" s="397"/>
      <c r="E40" s="397"/>
      <c r="F40" s="397"/>
      <c r="G40" s="397"/>
      <c r="H40" s="397"/>
      <c r="I40" s="397"/>
      <c r="J40" s="397"/>
      <c r="K40" s="397"/>
      <c r="L40" s="397"/>
      <c r="M40" s="62"/>
    </row>
    <row r="41" spans="1:14" ht="12.9" customHeight="1">
      <c r="A41" s="397"/>
      <c r="B41" s="12"/>
      <c r="C41" s="397"/>
      <c r="D41" s="397"/>
      <c r="E41" s="397"/>
      <c r="F41" s="397"/>
      <c r="G41" s="397"/>
      <c r="H41" s="397"/>
      <c r="I41" s="397"/>
      <c r="J41" s="397"/>
      <c r="K41" s="397"/>
      <c r="L41" s="397"/>
      <c r="M41" s="62"/>
    </row>
    <row r="42" spans="1:14" ht="12.9" customHeight="1">
      <c r="A42" s="397"/>
      <c r="B42" s="12"/>
      <c r="C42" s="633"/>
      <c r="D42" s="574"/>
      <c r="E42" s="574"/>
      <c r="F42" s="397"/>
      <c r="G42" s="397"/>
      <c r="H42" s="397"/>
      <c r="I42" s="397"/>
      <c r="J42" s="397"/>
      <c r="K42" s="397"/>
      <c r="L42" s="397"/>
      <c r="M42" s="168"/>
    </row>
    <row r="43" spans="1:14" ht="12.9" customHeight="1">
      <c r="A43" s="397"/>
      <c r="B43" s="72"/>
      <c r="C43" s="601"/>
      <c r="D43" s="574"/>
      <c r="E43" s="574"/>
      <c r="F43" s="574"/>
      <c r="G43" s="574"/>
      <c r="H43" s="574"/>
      <c r="I43" s="574"/>
      <c r="J43" s="397"/>
      <c r="K43" s="397"/>
      <c r="L43" s="397"/>
      <c r="M43" s="168"/>
      <c r="N43" s="166"/>
    </row>
    <row r="44" spans="1:14" ht="12.9" customHeight="1">
      <c r="A44" s="397"/>
      <c r="B44" s="72"/>
      <c r="C44" s="601"/>
      <c r="D44" s="574"/>
      <c r="E44" s="574"/>
      <c r="F44" s="574"/>
      <c r="G44" s="574"/>
      <c r="H44" s="574"/>
      <c r="I44" s="574"/>
      <c r="J44" s="397"/>
      <c r="K44" s="397"/>
      <c r="L44" s="397"/>
      <c r="M44" s="167"/>
      <c r="N44" s="17"/>
    </row>
    <row r="45" spans="1:14" ht="12.9" customHeight="1">
      <c r="A45" s="397"/>
      <c r="B45" s="72"/>
      <c r="C45" s="601"/>
      <c r="D45" s="574"/>
      <c r="E45" s="574"/>
      <c r="F45" s="574"/>
      <c r="G45" s="574"/>
      <c r="H45" s="574"/>
      <c r="I45" s="574"/>
      <c r="J45" s="397"/>
      <c r="K45" s="397"/>
      <c r="L45" s="397"/>
      <c r="M45" s="167"/>
    </row>
    <row r="46" spans="1:14" ht="12.9" customHeight="1">
      <c r="A46" s="397"/>
      <c r="B46" s="12"/>
      <c r="C46" s="601"/>
      <c r="D46" s="574"/>
      <c r="E46" s="574"/>
      <c r="F46" s="574"/>
      <c r="G46" s="574"/>
      <c r="H46" s="574"/>
      <c r="I46" s="574"/>
      <c r="J46" s="397"/>
      <c r="K46" s="397"/>
      <c r="L46" s="397"/>
      <c r="M46" s="167"/>
      <c r="N46" s="17"/>
    </row>
    <row r="47" spans="1:14" ht="12.9" customHeight="1">
      <c r="A47" s="397"/>
      <c r="B47" s="12"/>
      <c r="C47" s="397"/>
      <c r="D47" s="397"/>
      <c r="E47" s="397"/>
      <c r="F47" s="397"/>
      <c r="G47" s="397"/>
      <c r="H47" s="397"/>
      <c r="I47" s="397"/>
      <c r="J47" s="397"/>
      <c r="K47" s="397"/>
      <c r="L47" s="397"/>
      <c r="M47" s="167"/>
    </row>
    <row r="48" spans="1:14" ht="12.9" customHeight="1">
      <c r="A48" s="397"/>
      <c r="B48" s="12"/>
      <c r="C48" s="397"/>
      <c r="D48" s="397"/>
      <c r="E48" s="397"/>
      <c r="F48" s="397"/>
      <c r="G48" s="397"/>
      <c r="H48" s="397"/>
      <c r="I48" s="397"/>
      <c r="J48" s="397"/>
      <c r="K48" s="397"/>
      <c r="L48" s="397"/>
      <c r="M48" s="62"/>
    </row>
    <row r="49" spans="1:18" ht="12.9" customHeight="1">
      <c r="A49" s="397"/>
      <c r="B49" s="397"/>
      <c r="C49" s="397"/>
      <c r="D49" s="397"/>
      <c r="E49" s="397"/>
      <c r="F49" s="397"/>
      <c r="G49" s="397"/>
      <c r="H49" s="397"/>
      <c r="I49" s="397"/>
      <c r="J49" s="397"/>
      <c r="K49" s="397"/>
      <c r="L49" s="397"/>
      <c r="M49" s="62"/>
      <c r="O49" s="397"/>
      <c r="P49" s="397"/>
      <c r="Q49" s="397"/>
      <c r="R49" s="397"/>
    </row>
    <row r="50" spans="1:18" s="15" customFormat="1" ht="12.9" customHeight="1">
      <c r="B50" s="227"/>
      <c r="C50" s="600"/>
      <c r="D50" s="574"/>
      <c r="E50" s="574"/>
      <c r="F50" s="574"/>
      <c r="G50" s="574"/>
      <c r="H50" s="574"/>
      <c r="I50" s="574"/>
      <c r="M50" s="167"/>
      <c r="N50" s="146"/>
      <c r="O50" s="146"/>
      <c r="P50" s="146"/>
      <c r="Q50" s="146"/>
      <c r="R50" s="146"/>
    </row>
    <row r="51" spans="1:18" s="15" customFormat="1" ht="12.9" customHeight="1">
      <c r="B51" s="227"/>
      <c r="C51" s="600"/>
      <c r="D51" s="574"/>
      <c r="E51" s="574"/>
      <c r="F51" s="574"/>
      <c r="G51" s="574"/>
      <c r="H51" s="574"/>
      <c r="I51" s="574"/>
      <c r="M51" s="167"/>
    </row>
    <row r="52" spans="1:18" s="15" customFormat="1" ht="12.9" customHeight="1">
      <c r="A52" s="15" t="str">
        <f>IF(OR(N37="x",N36="x"),"Cell Error","")</f>
        <v/>
      </c>
      <c r="B52" s="156" t="str">
        <f>IF(OR(N37="x",N36="x"),"X","")</f>
        <v/>
      </c>
      <c r="C52" s="601" t="str">
        <f>IF(OR(N37="x",N36="x"),"Double check your columns for '#VALUE!' - this indicates an error on that line item.","")</f>
        <v/>
      </c>
      <c r="D52" s="601"/>
      <c r="E52" s="601"/>
      <c r="F52" s="601"/>
      <c r="G52" s="601"/>
      <c r="H52" s="601"/>
      <c r="I52" s="601"/>
      <c r="J52" s="574"/>
      <c r="M52" s="167" t="str">
        <f>IF(B52="x","X","")</f>
        <v/>
      </c>
    </row>
    <row r="53" spans="1:18" ht="15" customHeight="1">
      <c r="A53" s="397"/>
      <c r="B53" s="397"/>
      <c r="C53" s="397"/>
      <c r="D53" s="397"/>
      <c r="E53" s="397"/>
      <c r="F53" s="397"/>
      <c r="G53" s="397"/>
      <c r="H53" s="397"/>
      <c r="I53" s="397"/>
      <c r="J53" s="397"/>
      <c r="K53" s="397"/>
      <c r="L53" s="397"/>
      <c r="M53" s="15"/>
      <c r="O53" s="397"/>
      <c r="P53" s="397"/>
      <c r="Q53" s="397"/>
      <c r="R53" s="397"/>
    </row>
  </sheetData>
  <customSheetViews>
    <customSheetView guid="{89953FCB-456A-4C2D-8912-B30825F750D3}" fitToPage="1" topLeftCell="A2">
      <selection activeCell="G33" sqref="G33"/>
      <pageMargins left="0" right="0" top="0" bottom="0" header="0" footer="0"/>
      <pageSetup scale="70" orientation="landscape" r:id="rId1"/>
    </customSheetView>
  </customSheetViews>
  <mergeCells count="15">
    <mergeCell ref="C50:I50"/>
    <mergeCell ref="C51:I51"/>
    <mergeCell ref="C52:J52"/>
    <mergeCell ref="A1:C1"/>
    <mergeCell ref="A2:B2"/>
    <mergeCell ref="E5:F5"/>
    <mergeCell ref="E3:F3"/>
    <mergeCell ref="D4:F4"/>
    <mergeCell ref="C44:I44"/>
    <mergeCell ref="C45:I45"/>
    <mergeCell ref="C46:I46"/>
    <mergeCell ref="A7:L7"/>
    <mergeCell ref="B8:L8"/>
    <mergeCell ref="C42:E42"/>
    <mergeCell ref="C43:I43"/>
  </mergeCells>
  <conditionalFormatting sqref="C42">
    <cfRule type="cellIs" dxfId="119" priority="60" stopIfTrue="1" operator="equal">
      <formula>"You are over budget on expenditures."</formula>
    </cfRule>
  </conditionalFormatting>
  <conditionalFormatting sqref="C43">
    <cfRule type="containsText" dxfId="118" priority="58" stopIfTrue="1" operator="containsText" text="Not Ok">
      <formula>NOT(ISERROR(SEARCH("Not Ok",C43)))</formula>
    </cfRule>
  </conditionalFormatting>
  <conditionalFormatting sqref="C43:C46">
    <cfRule type="containsText" dxfId="117" priority="56" stopIfTrue="1" operator="containsText" text="Not Ok">
      <formula>NOT(ISERROR(SEARCH("Not Ok",C43)))</formula>
    </cfRule>
    <cfRule type="containsText" dxfId="116" priority="57" stopIfTrue="1" operator="containsText" text="Not Ok">
      <formula>NOT(ISERROR(SEARCH("Not Ok",C43)))</formula>
    </cfRule>
  </conditionalFormatting>
  <conditionalFormatting sqref="C43:H46 I46">
    <cfRule type="containsText" dxfId="115" priority="55" stopIfTrue="1" operator="containsText" text="Not Ok">
      <formula>NOT(ISERROR(SEARCH("Not Ok",C43)))</formula>
    </cfRule>
  </conditionalFormatting>
  <conditionalFormatting sqref="M43">
    <cfRule type="cellIs" dxfId="114" priority="45" stopIfTrue="1" operator="equal">
      <formula>"You are over budget on expenditures."</formula>
    </cfRule>
  </conditionalFormatting>
  <conditionalFormatting sqref="M42">
    <cfRule type="cellIs" dxfId="113" priority="51" stopIfTrue="1" operator="equal">
      <formula>"You are over budget on expenditures."</formula>
    </cfRule>
  </conditionalFormatting>
  <conditionalFormatting sqref="M42">
    <cfRule type="containsText" dxfId="112" priority="50" operator="containsText" text="Not Ok">
      <formula>NOT(ISERROR(SEARCH("Not Ok",M42)))</formula>
    </cfRule>
  </conditionalFormatting>
  <conditionalFormatting sqref="M44">
    <cfRule type="containsText" dxfId="111" priority="49" stopIfTrue="1" operator="containsText" text="Not Ok">
      <formula>NOT(ISERROR(SEARCH("Not Ok",M44)))</formula>
    </cfRule>
  </conditionalFormatting>
  <conditionalFormatting sqref="M44:M46">
    <cfRule type="containsText" dxfId="110" priority="47" stopIfTrue="1" operator="containsText" text="Not Ok">
      <formula>NOT(ISERROR(SEARCH("Not Ok",M44)))</formula>
    </cfRule>
    <cfRule type="containsText" dxfId="109" priority="48" stopIfTrue="1" operator="containsText" text="Not Ok">
      <formula>NOT(ISERROR(SEARCH("Not Ok",M44)))</formula>
    </cfRule>
  </conditionalFormatting>
  <conditionalFormatting sqref="M44:M46">
    <cfRule type="containsText" dxfId="108" priority="46" stopIfTrue="1" operator="containsText" text="Not Ok">
      <formula>NOT(ISERROR(SEARCH("Not Ok",M44)))</formula>
    </cfRule>
  </conditionalFormatting>
  <conditionalFormatting sqref="M43:M46">
    <cfRule type="containsText" dxfId="107" priority="44" operator="containsText" text="Not Ok">
      <formula>NOT(ISERROR(SEARCH("Not Ok",M43)))</formula>
    </cfRule>
  </conditionalFormatting>
  <conditionalFormatting sqref="M46">
    <cfRule type="containsText" dxfId="106" priority="42" stopIfTrue="1" operator="containsText" text="Not Ok">
      <formula>NOT(ISERROR(SEARCH("Not Ok",M46)))</formula>
    </cfRule>
  </conditionalFormatting>
  <conditionalFormatting sqref="M47">
    <cfRule type="containsText" dxfId="105" priority="40" stopIfTrue="1" operator="containsText" text="Not Ok">
      <formula>NOT(ISERROR(SEARCH("Not Ok",M47)))</formula>
    </cfRule>
    <cfRule type="containsText" dxfId="104" priority="41" stopIfTrue="1" operator="containsText" text="Not Ok">
      <formula>NOT(ISERROR(SEARCH("Not Ok",M47)))</formula>
    </cfRule>
  </conditionalFormatting>
  <conditionalFormatting sqref="M47">
    <cfRule type="containsText" dxfId="103" priority="39" stopIfTrue="1" operator="containsText" text="Not Ok">
      <formula>NOT(ISERROR(SEARCH("Not Ok",M47)))</formula>
    </cfRule>
  </conditionalFormatting>
  <conditionalFormatting sqref="M47">
    <cfRule type="containsText" dxfId="102" priority="38" operator="containsText" text="Not Ok">
      <formula>NOT(ISERROR(SEARCH("Not Ok",M47)))</formula>
    </cfRule>
  </conditionalFormatting>
  <conditionalFormatting sqref="G3">
    <cfRule type="containsText" dxfId="101" priority="33" stopIfTrue="1" operator="containsText" text="Not Ok">
      <formula>NOT(ISERROR(SEARCH("Not Ok",G3)))</formula>
    </cfRule>
    <cfRule type="containsText" dxfId="100" priority="34" stopIfTrue="1" operator="containsText" text="Not Ok">
      <formula>NOT(ISERROR(SEARCH("Not Ok",G3)))</formula>
    </cfRule>
  </conditionalFormatting>
  <conditionalFormatting sqref="G3">
    <cfRule type="containsText" dxfId="99" priority="32" stopIfTrue="1" operator="containsText" text="Not Ok">
      <formula>NOT(ISERROR(SEARCH("Not Ok",G3)))</formula>
    </cfRule>
  </conditionalFormatting>
  <conditionalFormatting sqref="N45:N47">
    <cfRule type="containsText" dxfId="98" priority="23" stopIfTrue="1" operator="containsText" text="Not Ok">
      <formula>NOT(ISERROR(SEARCH("Not Ok",N45)))</formula>
    </cfRule>
  </conditionalFormatting>
  <conditionalFormatting sqref="N43:N47">
    <cfRule type="containsText" dxfId="97" priority="22" operator="containsText" text="Not Ok">
      <formula>NOT(ISERROR(SEARCH("Not Ok",N43)))</formula>
    </cfRule>
  </conditionalFormatting>
  <conditionalFormatting sqref="N1">
    <cfRule type="containsText" dxfId="96" priority="21" operator="containsText" text="End">
      <formula>NOT(ISERROR(SEARCH("End",N1)))</formula>
    </cfRule>
  </conditionalFormatting>
  <conditionalFormatting sqref="N1">
    <cfRule type="containsText" dxfId="95" priority="20" operator="containsText" text="End">
      <formula>NOT(ISERROR(SEARCH("End",N1)))</formula>
    </cfRule>
  </conditionalFormatting>
  <conditionalFormatting sqref="N2">
    <cfRule type="containsText" dxfId="94" priority="19" operator="containsText" text="Please">
      <formula>NOT(ISERROR(SEARCH("Please",N2)))</formula>
    </cfRule>
  </conditionalFormatting>
  <conditionalFormatting sqref="A1">
    <cfRule type="containsText" dxfId="93" priority="13" operator="containsText" text="End">
      <formula>NOT(ISERROR(SEARCH("End",A1)))</formula>
    </cfRule>
  </conditionalFormatting>
  <conditionalFormatting sqref="A1">
    <cfRule type="containsText" dxfId="92" priority="12" operator="containsText" text="End">
      <formula>NOT(ISERROR(SEARCH("End",A1)))</formula>
    </cfRule>
  </conditionalFormatting>
  <conditionalFormatting sqref="A2:B2">
    <cfRule type="containsText" dxfId="91" priority="11" operator="containsText" text="Please">
      <formula>NOT(ISERROR(SEARCH("Please",A2)))</formula>
    </cfRule>
  </conditionalFormatting>
  <conditionalFormatting sqref="M10:M26">
    <cfRule type="containsText" dxfId="90" priority="10" operator="containsText" text="#">
      <formula>NOT(ISERROR(SEARCH("#",M10)))</formula>
    </cfRule>
  </conditionalFormatting>
  <conditionalFormatting sqref="B36:L36">
    <cfRule type="containsText" dxfId="89" priority="7" operator="containsText" text="Error">
      <formula>NOT(ISERROR(SEARCH("Error",B36)))</formula>
    </cfRule>
  </conditionalFormatting>
  <conditionalFormatting sqref="A36">
    <cfRule type="containsText" dxfId="88" priority="6" operator="containsText" text="Enter">
      <formula>NOT(ISERROR(SEARCH("Enter",A36)))</formula>
    </cfRule>
  </conditionalFormatting>
  <conditionalFormatting sqref="B50">
    <cfRule type="cellIs" dxfId="87" priority="5" stopIfTrue="1" operator="equal">
      <formula>"You cannot claim against this contract until all prior year program income has been expended."</formula>
    </cfRule>
  </conditionalFormatting>
  <conditionalFormatting sqref="C50:C51">
    <cfRule type="containsText" dxfId="86" priority="4" operator="containsText" text="You">
      <formula>NOT(ISERROR(SEARCH("You",C50)))</formula>
    </cfRule>
  </conditionalFormatting>
  <conditionalFormatting sqref="M50:M51">
    <cfRule type="containsText" dxfId="85" priority="3" operator="containsText" text="You">
      <formula>NOT(ISERROR(SEARCH("You",M50)))</formula>
    </cfRule>
  </conditionalFormatting>
  <conditionalFormatting sqref="C52">
    <cfRule type="containsText" dxfId="84" priority="2" operator="containsText" text="Double">
      <formula>NOT(ISERROR(SEARCH("Double",C52)))</formula>
    </cfRule>
  </conditionalFormatting>
  <conditionalFormatting sqref="M52">
    <cfRule type="containsText" dxfId="83" priority="1" operator="containsText" text="You">
      <formula>NOT(ISERROR(SEARCH("You",M52)))</formula>
    </cfRule>
  </conditionalFormatting>
  <dataValidations count="1">
    <dataValidation type="whole" allowBlank="1" showInputMessage="1" showErrorMessage="1" errorTitle="Whole Number Validation" error="You must enter all dollars as whole numbers - no decimals (cents) or spaces." sqref="F10:L26" xr:uid="{810C9A8F-825D-4899-B7C5-1DA019D75A32}">
      <formula1>0</formula1>
      <formula2>1000000</formula2>
    </dataValidation>
  </dataValidations>
  <pageMargins left="0.7" right="0.7" top="0.75" bottom="0.75" header="0.3" footer="0.3"/>
  <pageSetup scale="70"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13"/>
    <pageSetUpPr fitToPage="1"/>
  </sheetPr>
  <dimension ref="A1:R55"/>
  <sheetViews>
    <sheetView showGridLines="0" showRowColHeaders="0" topLeftCell="A7" workbookViewId="0">
      <selection activeCell="A37" sqref="A37"/>
    </sheetView>
  </sheetViews>
  <sheetFormatPr defaultRowHeight="13.2"/>
  <cols>
    <col min="1" max="1" width="31.6640625" customWidth="1"/>
    <col min="2" max="12" width="12.6640625" customWidth="1"/>
    <col min="13" max="13" width="15.6640625" customWidth="1"/>
  </cols>
  <sheetData>
    <row r="1" spans="1:13" s="13" customFormat="1" ht="15" customHeight="1">
      <c r="A1" s="15"/>
      <c r="B1" s="15"/>
      <c r="C1" s="15"/>
      <c r="D1" s="15"/>
      <c r="E1" s="15"/>
      <c r="F1" s="156"/>
      <c r="G1" s="15"/>
      <c r="H1" s="15"/>
      <c r="I1" s="15"/>
      <c r="J1" s="15"/>
      <c r="K1" s="15"/>
      <c r="L1" s="15"/>
      <c r="M1" s="397"/>
    </row>
    <row r="2" spans="1:13" s="13" customFormat="1" ht="15" customHeight="1">
      <c r="A2" s="17"/>
      <c r="B2" s="15"/>
      <c r="C2" s="15"/>
      <c r="D2" s="15"/>
      <c r="E2" s="15"/>
      <c r="F2" s="156" t="s">
        <v>1121</v>
      </c>
      <c r="G2" s="15"/>
      <c r="H2" s="15"/>
      <c r="I2" s="15"/>
      <c r="J2" s="15"/>
      <c r="K2" s="15"/>
      <c r="L2" s="15"/>
      <c r="M2" s="397"/>
    </row>
    <row r="3" spans="1:13" s="13" customFormat="1" ht="15" customHeight="1">
      <c r="A3" s="17" t="s">
        <v>1123</v>
      </c>
      <c r="B3" s="15"/>
      <c r="C3" s="15"/>
      <c r="D3" s="15"/>
      <c r="E3" s="608" t="str">
        <f>'III-B - #11619'!E3:F3</f>
        <v>Menominee Tribe</v>
      </c>
      <c r="F3" s="608"/>
      <c r="G3" s="15"/>
      <c r="H3" s="15"/>
      <c r="I3" s="15"/>
      <c r="J3" s="15"/>
      <c r="K3" s="15"/>
      <c r="L3" s="15"/>
      <c r="M3" s="15"/>
    </row>
    <row r="4" spans="1:13" s="13" customFormat="1" ht="15" customHeight="1">
      <c r="A4" s="17" t="s">
        <v>1125</v>
      </c>
      <c r="B4" s="15"/>
      <c r="C4" s="15"/>
      <c r="D4" s="608" t="e">
        <f>LOOKUP(E5,Date,'Addl Info'!B21:B33)</f>
        <v>#N/A</v>
      </c>
      <c r="E4" s="612"/>
      <c r="F4" s="612"/>
      <c r="G4" s="15"/>
      <c r="H4" s="15"/>
      <c r="I4" s="15"/>
      <c r="J4" s="15"/>
      <c r="K4" s="15"/>
      <c r="L4" s="15"/>
      <c r="M4" s="15"/>
    </row>
    <row r="5" spans="1:13" s="13" customFormat="1" ht="15" customHeight="1">
      <c r="A5" s="17" t="s">
        <v>1126</v>
      </c>
      <c r="B5" s="15"/>
      <c r="C5" s="15"/>
      <c r="D5" s="15"/>
      <c r="E5" s="608" t="str">
        <f>'III-B - #11619'!E5:F5</f>
        <v/>
      </c>
      <c r="F5" s="608"/>
      <c r="G5" s="15"/>
      <c r="H5" s="15"/>
      <c r="I5" s="15"/>
      <c r="J5" s="15"/>
      <c r="K5" s="15"/>
      <c r="L5" s="15"/>
      <c r="M5" s="15"/>
    </row>
    <row r="6" spans="1:13" s="13" customFormat="1" ht="15" customHeight="1">
      <c r="A6" s="17" t="s">
        <v>1127</v>
      </c>
      <c r="B6" s="15"/>
      <c r="C6" s="15"/>
      <c r="D6" s="15"/>
      <c r="E6" s="15"/>
      <c r="F6" s="153" t="s">
        <v>1346</v>
      </c>
      <c r="G6" s="15"/>
      <c r="H6" s="15"/>
      <c r="I6" s="15"/>
      <c r="J6" s="15"/>
      <c r="K6" s="15"/>
      <c r="L6" s="15"/>
      <c r="M6" s="15"/>
    </row>
    <row r="7" spans="1:13" ht="15" customHeight="1">
      <c r="A7" s="606"/>
      <c r="B7" s="607"/>
      <c r="C7" s="607"/>
      <c r="D7" s="607"/>
      <c r="E7" s="607"/>
      <c r="F7" s="607"/>
      <c r="G7" s="607"/>
      <c r="H7" s="607"/>
      <c r="I7" s="607"/>
      <c r="J7" s="607"/>
      <c r="K7" s="607"/>
      <c r="L7" s="607"/>
      <c r="M7" s="397"/>
    </row>
    <row r="8" spans="1:13" s="2" customFormat="1" ht="15" customHeight="1" thickBot="1">
      <c r="A8" s="1"/>
      <c r="B8" s="605" t="s">
        <v>1347</v>
      </c>
      <c r="C8" s="605"/>
      <c r="D8" s="605"/>
      <c r="E8" s="605"/>
      <c r="F8" s="605"/>
      <c r="G8" s="605"/>
      <c r="H8" s="605"/>
      <c r="I8" s="605"/>
      <c r="J8" s="605"/>
      <c r="K8" s="605"/>
      <c r="L8" s="605"/>
    </row>
    <row r="9" spans="1:13" ht="77.099999999999994" customHeight="1" thickTop="1">
      <c r="A9" s="178" t="s">
        <v>1128</v>
      </c>
      <c r="B9" s="92" t="s">
        <v>1342</v>
      </c>
      <c r="C9" s="92" t="s">
        <v>1343</v>
      </c>
      <c r="D9" s="92" t="s">
        <v>1131</v>
      </c>
      <c r="E9" s="92" t="s">
        <v>1132</v>
      </c>
      <c r="F9" s="6" t="s">
        <v>1133</v>
      </c>
      <c r="G9" s="6" t="s">
        <v>1134</v>
      </c>
      <c r="H9" s="6" t="s">
        <v>1135</v>
      </c>
      <c r="I9" s="6" t="s">
        <v>321</v>
      </c>
      <c r="J9" s="6" t="s">
        <v>325</v>
      </c>
      <c r="K9" s="6" t="s">
        <v>1136</v>
      </c>
      <c r="L9" s="353" t="s">
        <v>1137</v>
      </c>
      <c r="M9" s="154" t="s">
        <v>331</v>
      </c>
    </row>
    <row r="10" spans="1:13" ht="12.9" customHeight="1">
      <c r="A10" s="181" t="s">
        <v>1170</v>
      </c>
      <c r="B10" s="323"/>
      <c r="C10" s="323"/>
      <c r="D10" s="323"/>
      <c r="E10" s="323"/>
      <c r="F10" s="306"/>
      <c r="G10" s="306"/>
      <c r="H10" s="306"/>
      <c r="I10" s="306"/>
      <c r="J10" s="306"/>
      <c r="K10" s="306"/>
      <c r="L10" s="307"/>
      <c r="M10" s="308">
        <f>C10+D10+E10+F10+G10+H10+I10+J10+K10+L10-K10-I10</f>
        <v>0</v>
      </c>
    </row>
    <row r="11" spans="1:13" ht="12.9" customHeight="1">
      <c r="A11" s="212" t="s">
        <v>1171</v>
      </c>
      <c r="B11" s="323"/>
      <c r="C11" s="323"/>
      <c r="D11" s="323"/>
      <c r="E11" s="323"/>
      <c r="F11" s="306"/>
      <c r="G11" s="306"/>
      <c r="H11" s="306"/>
      <c r="I11" s="306"/>
      <c r="J11" s="306"/>
      <c r="K11" s="306"/>
      <c r="L11" s="307"/>
      <c r="M11" s="308">
        <f t="shared" ref="M11:M25" si="0">C11+D11+E11+F11+G11+H11+I11+J11+K11+L11-K11-I11</f>
        <v>0</v>
      </c>
    </row>
    <row r="12" spans="1:13" ht="12.9" customHeight="1">
      <c r="A12" s="212" t="s">
        <v>1172</v>
      </c>
      <c r="B12" s="323"/>
      <c r="C12" s="323"/>
      <c r="D12" s="323"/>
      <c r="E12" s="323"/>
      <c r="F12" s="306"/>
      <c r="G12" s="306"/>
      <c r="H12" s="306"/>
      <c r="I12" s="306"/>
      <c r="J12" s="306"/>
      <c r="K12" s="306"/>
      <c r="L12" s="307"/>
      <c r="M12" s="308">
        <f t="shared" si="0"/>
        <v>0</v>
      </c>
    </row>
    <row r="13" spans="1:13" ht="12.9" customHeight="1">
      <c r="A13" s="181" t="s">
        <v>1173</v>
      </c>
      <c r="B13" s="323"/>
      <c r="C13" s="323"/>
      <c r="D13" s="323"/>
      <c r="E13" s="323"/>
      <c r="F13" s="306"/>
      <c r="G13" s="306"/>
      <c r="H13" s="306"/>
      <c r="I13" s="306"/>
      <c r="J13" s="306"/>
      <c r="K13" s="306"/>
      <c r="L13" s="307"/>
      <c r="M13" s="308">
        <f t="shared" si="0"/>
        <v>0</v>
      </c>
    </row>
    <row r="14" spans="1:13" ht="12.9" customHeight="1">
      <c r="A14" s="181" t="s">
        <v>1174</v>
      </c>
      <c r="B14" s="323"/>
      <c r="C14" s="323"/>
      <c r="D14" s="323"/>
      <c r="E14" s="323"/>
      <c r="F14" s="306"/>
      <c r="G14" s="306"/>
      <c r="H14" s="306"/>
      <c r="I14" s="306"/>
      <c r="J14" s="306"/>
      <c r="K14" s="306"/>
      <c r="L14" s="307"/>
      <c r="M14" s="308">
        <f t="shared" si="0"/>
        <v>0</v>
      </c>
    </row>
    <row r="15" spans="1:13" ht="12.9" customHeight="1">
      <c r="A15" s="182" t="s">
        <v>1175</v>
      </c>
      <c r="B15" s="323"/>
      <c r="C15" s="323"/>
      <c r="D15" s="323"/>
      <c r="E15" s="323"/>
      <c r="F15" s="306"/>
      <c r="G15" s="306"/>
      <c r="H15" s="306"/>
      <c r="I15" s="306"/>
      <c r="J15" s="306"/>
      <c r="K15" s="306"/>
      <c r="L15" s="307"/>
      <c r="M15" s="308">
        <f t="shared" si="0"/>
        <v>0</v>
      </c>
    </row>
    <row r="16" spans="1:13" ht="12.9" customHeight="1">
      <c r="A16" s="212" t="s">
        <v>1176</v>
      </c>
      <c r="B16" s="323"/>
      <c r="C16" s="323"/>
      <c r="D16" s="323"/>
      <c r="E16" s="323"/>
      <c r="F16" s="306"/>
      <c r="G16" s="306"/>
      <c r="H16" s="306"/>
      <c r="I16" s="306"/>
      <c r="J16" s="306"/>
      <c r="K16" s="306"/>
      <c r="L16" s="307"/>
      <c r="M16" s="308">
        <f t="shared" si="0"/>
        <v>0</v>
      </c>
    </row>
    <row r="17" spans="1:13" ht="12.9" customHeight="1">
      <c r="A17" s="212" t="s">
        <v>1177</v>
      </c>
      <c r="B17" s="323"/>
      <c r="C17" s="323"/>
      <c r="D17" s="323"/>
      <c r="E17" s="323"/>
      <c r="F17" s="306"/>
      <c r="G17" s="306"/>
      <c r="H17" s="306"/>
      <c r="I17" s="306"/>
      <c r="J17" s="306"/>
      <c r="K17" s="306"/>
      <c r="L17" s="307"/>
      <c r="M17" s="308">
        <f t="shared" si="0"/>
        <v>0</v>
      </c>
    </row>
    <row r="18" spans="1:13" ht="12.9" customHeight="1">
      <c r="A18" s="213" t="s">
        <v>1178</v>
      </c>
      <c r="B18" s="323"/>
      <c r="C18" s="323"/>
      <c r="D18" s="323"/>
      <c r="E18" s="323"/>
      <c r="F18" s="306"/>
      <c r="G18" s="306"/>
      <c r="H18" s="306"/>
      <c r="I18" s="306"/>
      <c r="J18" s="306"/>
      <c r="K18" s="306"/>
      <c r="L18" s="307"/>
      <c r="M18" s="308">
        <f t="shared" si="0"/>
        <v>0</v>
      </c>
    </row>
    <row r="19" spans="1:13" ht="12.9" customHeight="1">
      <c r="A19" s="212" t="s">
        <v>1179</v>
      </c>
      <c r="B19" s="323"/>
      <c r="C19" s="323"/>
      <c r="D19" s="323"/>
      <c r="E19" s="323"/>
      <c r="F19" s="306"/>
      <c r="G19" s="306"/>
      <c r="H19" s="306"/>
      <c r="I19" s="306"/>
      <c r="J19" s="306"/>
      <c r="K19" s="306"/>
      <c r="L19" s="307"/>
      <c r="M19" s="308">
        <f t="shared" si="0"/>
        <v>0</v>
      </c>
    </row>
    <row r="20" spans="1:13" ht="12.9" customHeight="1">
      <c r="A20" s="212" t="s">
        <v>1180</v>
      </c>
      <c r="B20" s="323"/>
      <c r="C20" s="323"/>
      <c r="D20" s="323"/>
      <c r="E20" s="323"/>
      <c r="F20" s="306"/>
      <c r="G20" s="306"/>
      <c r="H20" s="306"/>
      <c r="I20" s="306"/>
      <c r="J20" s="306"/>
      <c r="K20" s="306"/>
      <c r="L20" s="307"/>
      <c r="M20" s="308">
        <f t="shared" si="0"/>
        <v>0</v>
      </c>
    </row>
    <row r="21" spans="1:13" ht="12.9" customHeight="1">
      <c r="A21" s="181" t="s">
        <v>1181</v>
      </c>
      <c r="B21" s="323"/>
      <c r="C21" s="323"/>
      <c r="D21" s="323"/>
      <c r="E21" s="323"/>
      <c r="F21" s="306"/>
      <c r="G21" s="306"/>
      <c r="H21" s="306"/>
      <c r="I21" s="306"/>
      <c r="J21" s="306"/>
      <c r="K21" s="306"/>
      <c r="L21" s="307"/>
      <c r="M21" s="308">
        <f t="shared" si="0"/>
        <v>0</v>
      </c>
    </row>
    <row r="22" spans="1:13" ht="12.9" customHeight="1">
      <c r="A22" s="212" t="s">
        <v>1182</v>
      </c>
      <c r="B22" s="323"/>
      <c r="C22" s="323"/>
      <c r="D22" s="323"/>
      <c r="E22" s="323"/>
      <c r="F22" s="306"/>
      <c r="G22" s="306"/>
      <c r="H22" s="306"/>
      <c r="I22" s="306"/>
      <c r="J22" s="306"/>
      <c r="K22" s="306"/>
      <c r="L22" s="307"/>
      <c r="M22" s="308">
        <f t="shared" si="0"/>
        <v>0</v>
      </c>
    </row>
    <row r="23" spans="1:13" ht="12.9" customHeight="1">
      <c r="A23" s="212" t="s">
        <v>1183</v>
      </c>
      <c r="B23" s="323"/>
      <c r="C23" s="323"/>
      <c r="D23" s="323"/>
      <c r="E23" s="323"/>
      <c r="F23" s="306"/>
      <c r="G23" s="306"/>
      <c r="H23" s="306"/>
      <c r="I23" s="306"/>
      <c r="J23" s="306"/>
      <c r="K23" s="306"/>
      <c r="L23" s="307"/>
      <c r="M23" s="308">
        <f t="shared" si="0"/>
        <v>0</v>
      </c>
    </row>
    <row r="24" spans="1:13" ht="12.9" customHeight="1">
      <c r="A24" s="212" t="s">
        <v>1184</v>
      </c>
      <c r="B24" s="323"/>
      <c r="C24" s="323"/>
      <c r="D24" s="323"/>
      <c r="E24" s="323"/>
      <c r="F24" s="306"/>
      <c r="G24" s="306"/>
      <c r="H24" s="306"/>
      <c r="I24" s="306"/>
      <c r="J24" s="306"/>
      <c r="K24" s="306"/>
      <c r="L24" s="307"/>
      <c r="M24" s="308">
        <f t="shared" si="0"/>
        <v>0</v>
      </c>
    </row>
    <row r="25" spans="1:13" ht="12.9" customHeight="1">
      <c r="A25" s="212" t="s">
        <v>1185</v>
      </c>
      <c r="B25" s="323"/>
      <c r="C25" s="323"/>
      <c r="D25" s="323"/>
      <c r="E25" s="323"/>
      <c r="F25" s="306"/>
      <c r="G25" s="306"/>
      <c r="H25" s="306"/>
      <c r="I25" s="306"/>
      <c r="J25" s="306"/>
      <c r="K25" s="306"/>
      <c r="L25" s="307"/>
      <c r="M25" s="308">
        <f t="shared" si="0"/>
        <v>0</v>
      </c>
    </row>
    <row r="26" spans="1:13" ht="12.9" customHeight="1">
      <c r="A26" s="181"/>
      <c r="B26" s="323"/>
      <c r="C26" s="323"/>
      <c r="D26" s="323"/>
      <c r="E26" s="323"/>
      <c r="F26" s="323"/>
      <c r="G26" s="323"/>
      <c r="H26" s="323"/>
      <c r="I26" s="323"/>
      <c r="J26" s="323"/>
      <c r="K26" s="323"/>
      <c r="L26" s="323"/>
      <c r="M26" s="311"/>
    </row>
    <row r="27" spans="1:13" ht="12.9" customHeight="1">
      <c r="A27" s="182"/>
      <c r="B27" s="323"/>
      <c r="C27" s="323"/>
      <c r="D27" s="323"/>
      <c r="E27" s="323"/>
      <c r="F27" s="323"/>
      <c r="G27" s="323"/>
      <c r="H27" s="323"/>
      <c r="I27" s="323"/>
      <c r="J27" s="323"/>
      <c r="K27" s="323"/>
      <c r="L27" s="324"/>
      <c r="M27" s="311"/>
    </row>
    <row r="28" spans="1:13" ht="12.9" customHeight="1">
      <c r="A28" s="183"/>
      <c r="B28" s="323"/>
      <c r="C28" s="323"/>
      <c r="D28" s="323"/>
      <c r="E28" s="323"/>
      <c r="F28" s="323"/>
      <c r="G28" s="323"/>
      <c r="H28" s="323"/>
      <c r="I28" s="323"/>
      <c r="J28" s="323"/>
      <c r="K28" s="323"/>
      <c r="L28" s="324"/>
      <c r="M28" s="311"/>
    </row>
    <row r="29" spans="1:13" ht="12.9" customHeight="1">
      <c r="A29" s="182"/>
      <c r="B29" s="323"/>
      <c r="C29" s="323"/>
      <c r="D29" s="323"/>
      <c r="E29" s="323"/>
      <c r="F29" s="323"/>
      <c r="G29" s="323"/>
      <c r="H29" s="323"/>
      <c r="I29" s="323"/>
      <c r="J29" s="323"/>
      <c r="K29" s="323"/>
      <c r="L29" s="324"/>
      <c r="M29" s="311"/>
    </row>
    <row r="30" spans="1:13" ht="12.9" customHeight="1">
      <c r="A30" s="184"/>
      <c r="B30" s="323"/>
      <c r="C30" s="323"/>
      <c r="D30" s="323"/>
      <c r="E30" s="323"/>
      <c r="F30" s="323"/>
      <c r="G30" s="323"/>
      <c r="H30" s="323"/>
      <c r="I30" s="323"/>
      <c r="J30" s="323"/>
      <c r="K30" s="323"/>
      <c r="L30" s="324"/>
      <c r="M30" s="311"/>
    </row>
    <row r="31" spans="1:13" ht="12.9" customHeight="1">
      <c r="A31" s="182"/>
      <c r="B31" s="323"/>
      <c r="C31" s="323"/>
      <c r="D31" s="323"/>
      <c r="E31" s="323"/>
      <c r="F31" s="323"/>
      <c r="G31" s="323"/>
      <c r="H31" s="323"/>
      <c r="I31" s="323"/>
      <c r="J31" s="323"/>
      <c r="K31" s="323"/>
      <c r="L31" s="324"/>
      <c r="M31" s="311"/>
    </row>
    <row r="32" spans="1:13" ht="12.9" customHeight="1">
      <c r="A32" s="182"/>
      <c r="B32" s="323"/>
      <c r="C32" s="323"/>
      <c r="D32" s="323"/>
      <c r="E32" s="323"/>
      <c r="F32" s="323"/>
      <c r="G32" s="323"/>
      <c r="H32" s="323"/>
      <c r="I32" s="323"/>
      <c r="J32" s="323"/>
      <c r="K32" s="323"/>
      <c r="L32" s="324"/>
      <c r="M32" s="311"/>
    </row>
    <row r="33" spans="1:14" ht="12.9" customHeight="1">
      <c r="A33" s="182"/>
      <c r="B33" s="323"/>
      <c r="C33" s="323"/>
      <c r="D33" s="323"/>
      <c r="E33" s="323"/>
      <c r="F33" s="323"/>
      <c r="G33" s="323"/>
      <c r="H33" s="323"/>
      <c r="I33" s="323"/>
      <c r="J33" s="323"/>
      <c r="K33" s="323"/>
      <c r="L33" s="324"/>
      <c r="M33" s="311"/>
      <c r="N33" s="397"/>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B10+B11+B12+B13+B14+B15+B16+B18+B19+B20+B21+B22+B23+B24+B25+B26+B27+B28+B29+B30</f>
        <v>0</v>
      </c>
      <c r="C35" s="316">
        <f t="shared" ref="C35:L35" si="1">C10+C11+C12+C13+C14+C15+C16+C18+C19+C20+C21+C22+C23+C24+C25+C26+C27+C28+C29+C30</f>
        <v>0</v>
      </c>
      <c r="D35" s="316">
        <f t="shared" si="1"/>
        <v>0</v>
      </c>
      <c r="E35" s="316">
        <f t="shared" si="1"/>
        <v>0</v>
      </c>
      <c r="F35" s="316">
        <f t="shared" si="1"/>
        <v>0</v>
      </c>
      <c r="G35" s="316">
        <f t="shared" si="1"/>
        <v>0</v>
      </c>
      <c r="H35" s="316">
        <f t="shared" si="1"/>
        <v>0</v>
      </c>
      <c r="I35" s="316">
        <f t="shared" si="1"/>
        <v>0</v>
      </c>
      <c r="J35" s="316">
        <f t="shared" si="1"/>
        <v>0</v>
      </c>
      <c r="K35" s="316">
        <f t="shared" si="1"/>
        <v>0</v>
      </c>
      <c r="L35" s="316">
        <f t="shared" si="1"/>
        <v>0</v>
      </c>
      <c r="M35" s="317">
        <f>C35+D35+E35+F35+G35+H35+I35+J35+K35+L35-I35-K35</f>
        <v>0</v>
      </c>
      <c r="N35" s="225"/>
    </row>
    <row r="36" spans="1:14" s="15" customFormat="1" ht="12.9" customHeight="1">
      <c r="A36" s="644" t="s">
        <v>1348</v>
      </c>
      <c r="B36" s="645"/>
      <c r="C36" s="645"/>
      <c r="D36" s="645"/>
      <c r="E36" s="645"/>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t="str">
        <f>IF(ISERROR(MATCH("x",B37:L37,0)),"","x")</f>
        <v/>
      </c>
    </row>
    <row r="38" spans="1:14" ht="12.9" customHeight="1" thickBot="1">
      <c r="A38" s="613"/>
      <c r="B38" s="614"/>
      <c r="C38" s="614"/>
      <c r="D38" s="614"/>
      <c r="E38" s="614"/>
      <c r="F38" s="614"/>
      <c r="G38" s="614"/>
      <c r="H38" s="12"/>
      <c r="I38" s="12"/>
      <c r="J38" s="12"/>
      <c r="K38" s="12"/>
      <c r="L38" s="12"/>
      <c r="M38" s="15"/>
      <c r="N38" s="397"/>
    </row>
    <row r="39" spans="1:14" ht="12.9" customHeight="1" thickBot="1">
      <c r="A39" s="348" t="s">
        <v>1187</v>
      </c>
      <c r="B39" s="349">
        <f>SUM(B10:B30)</f>
        <v>0</v>
      </c>
      <c r="C39" s="349">
        <f t="shared" ref="C39:M39" si="2">SUM(C10:C30)</f>
        <v>0</v>
      </c>
      <c r="D39" s="349">
        <f t="shared" si="2"/>
        <v>0</v>
      </c>
      <c r="E39" s="349">
        <f t="shared" si="2"/>
        <v>0</v>
      </c>
      <c r="F39" s="349">
        <f t="shared" si="2"/>
        <v>0</v>
      </c>
      <c r="G39" s="349">
        <f t="shared" si="2"/>
        <v>0</v>
      </c>
      <c r="H39" s="349">
        <f t="shared" si="2"/>
        <v>0</v>
      </c>
      <c r="I39" s="349">
        <f t="shared" si="2"/>
        <v>0</v>
      </c>
      <c r="J39" s="349">
        <f t="shared" si="2"/>
        <v>0</v>
      </c>
      <c r="K39" s="349">
        <f t="shared" si="2"/>
        <v>0</v>
      </c>
      <c r="L39" s="349">
        <f t="shared" si="2"/>
        <v>0</v>
      </c>
      <c r="M39" s="350">
        <f t="shared" si="2"/>
        <v>0</v>
      </c>
      <c r="N39" s="397"/>
    </row>
    <row r="40" spans="1:14" ht="12.9" customHeight="1">
      <c r="A40" s="397"/>
      <c r="B40" s="147"/>
      <c r="C40" s="12"/>
      <c r="D40" s="12"/>
      <c r="E40" s="12"/>
      <c r="F40" s="12"/>
      <c r="G40" s="12"/>
      <c r="H40" s="12"/>
      <c r="I40" s="397"/>
      <c r="J40" s="397"/>
      <c r="K40" s="397"/>
      <c r="L40" s="397"/>
      <c r="M40" s="397"/>
      <c r="N40" s="397"/>
    </row>
    <row r="41" spans="1:14" ht="12.9" customHeight="1">
      <c r="A41" s="397"/>
      <c r="B41" s="15"/>
      <c r="C41" s="15"/>
      <c r="D41" s="397"/>
      <c r="E41" s="397"/>
      <c r="F41" s="15"/>
      <c r="G41" s="15"/>
      <c r="H41" s="397"/>
      <c r="I41" s="397"/>
      <c r="J41" s="397"/>
      <c r="K41" s="397"/>
      <c r="L41" s="397"/>
      <c r="M41" s="397"/>
      <c r="N41" s="397"/>
    </row>
    <row r="42" spans="1:14" ht="12.9" customHeight="1">
      <c r="A42" s="397"/>
      <c r="B42" s="15"/>
      <c r="C42" s="15"/>
      <c r="D42" s="397"/>
      <c r="E42" s="397"/>
      <c r="F42" s="15"/>
      <c r="G42" s="15"/>
      <c r="H42" s="397"/>
      <c r="I42" s="397"/>
      <c r="J42" s="397"/>
      <c r="K42" s="397"/>
      <c r="L42" s="397"/>
      <c r="M42" s="397"/>
      <c r="N42" s="397"/>
    </row>
    <row r="43" spans="1:14" ht="12.9" customHeight="1">
      <c r="A43" s="397"/>
      <c r="B43" s="12"/>
      <c r="C43" s="397"/>
      <c r="D43" s="397"/>
      <c r="E43" s="397"/>
      <c r="F43" s="397"/>
      <c r="G43" s="397"/>
      <c r="H43" s="397"/>
      <c r="I43" s="397"/>
      <c r="J43" s="397"/>
      <c r="K43" s="397"/>
      <c r="L43" s="397"/>
      <c r="M43" s="397"/>
      <c r="N43" s="397"/>
    </row>
    <row r="44" spans="1:14" ht="12.9" customHeight="1">
      <c r="A44" s="397"/>
      <c r="B44" s="351"/>
      <c r="C44" s="12"/>
      <c r="D44" s="397"/>
      <c r="E44" s="397"/>
      <c r="F44" s="397"/>
      <c r="G44" s="397"/>
      <c r="H44" s="397"/>
      <c r="I44" s="397"/>
      <c r="J44" s="397"/>
      <c r="K44" s="397"/>
      <c r="L44" s="397"/>
      <c r="M44" s="397"/>
      <c r="N44" s="397"/>
    </row>
    <row r="45" spans="1:14" ht="12.9" customHeight="1">
      <c r="A45" s="397"/>
      <c r="B45" s="72"/>
      <c r="C45" s="601"/>
      <c r="D45" s="601"/>
      <c r="E45" s="601"/>
      <c r="F45" s="601"/>
      <c r="G45" s="601"/>
      <c r="H45" s="601"/>
      <c r="I45" s="601"/>
      <c r="J45" s="601"/>
      <c r="K45" s="601"/>
      <c r="L45" s="601"/>
      <c r="M45" s="397"/>
      <c r="N45" s="397"/>
    </row>
    <row r="46" spans="1:14" ht="12.9" customHeight="1">
      <c r="A46" s="397"/>
      <c r="B46" s="72"/>
      <c r="C46" s="601"/>
      <c r="D46" s="574"/>
      <c r="E46" s="574"/>
      <c r="F46" s="574"/>
      <c r="G46" s="574"/>
      <c r="H46" s="574"/>
      <c r="I46" s="574"/>
      <c r="J46" s="397"/>
      <c r="K46" s="397"/>
      <c r="L46" s="397"/>
      <c r="M46" s="397"/>
      <c r="N46" s="397"/>
    </row>
    <row r="47" spans="1:14" ht="12.9" customHeight="1">
      <c r="A47" s="397"/>
      <c r="B47" s="72"/>
      <c r="C47" s="601"/>
      <c r="D47" s="601"/>
      <c r="E47" s="601"/>
      <c r="F47" s="601"/>
      <c r="G47" s="601"/>
      <c r="H47" s="601"/>
      <c r="I47" s="601"/>
      <c r="J47" s="601"/>
      <c r="K47" s="601"/>
      <c r="L47" s="601"/>
      <c r="M47" s="397"/>
      <c r="N47" s="397"/>
    </row>
    <row r="48" spans="1:14" ht="12.9" customHeight="1">
      <c r="A48" s="397"/>
      <c r="B48" s="12"/>
      <c r="C48" s="601"/>
      <c r="D48" s="574"/>
      <c r="E48" s="574"/>
      <c r="F48" s="574"/>
      <c r="G48" s="574"/>
      <c r="H48" s="574"/>
      <c r="I48" s="574"/>
      <c r="J48" s="397"/>
      <c r="K48" s="397"/>
      <c r="L48" s="397"/>
      <c r="M48" s="397"/>
      <c r="N48" s="397"/>
    </row>
    <row r="49" spans="1:18" ht="12.9" customHeight="1">
      <c r="A49" s="397"/>
      <c r="B49" s="12"/>
      <c r="C49" s="397"/>
      <c r="D49" s="397"/>
      <c r="E49" s="397"/>
      <c r="F49" s="397"/>
      <c r="G49" s="397"/>
      <c r="H49" s="397"/>
      <c r="I49" s="397"/>
      <c r="J49" s="397"/>
      <c r="K49" s="397"/>
      <c r="L49" s="397"/>
      <c r="M49" s="397"/>
      <c r="N49" s="397"/>
      <c r="O49" s="397"/>
      <c r="P49" s="397"/>
      <c r="Q49" s="397"/>
      <c r="R49" s="397"/>
    </row>
    <row r="50" spans="1:18" s="15" customFormat="1" ht="12.9" customHeight="1">
      <c r="B50" s="227"/>
      <c r="C50" s="600"/>
      <c r="D50" s="574"/>
      <c r="E50" s="574"/>
      <c r="F50" s="574"/>
      <c r="G50" s="574"/>
      <c r="H50" s="574"/>
      <c r="I50" s="574"/>
      <c r="M50" s="167"/>
      <c r="N50" s="146"/>
      <c r="O50" s="146"/>
      <c r="P50" s="146"/>
      <c r="Q50" s="146"/>
      <c r="R50" s="146"/>
    </row>
    <row r="51" spans="1:18" s="15" customFormat="1" ht="12.9" customHeight="1">
      <c r="B51" s="227"/>
      <c r="C51" s="600"/>
      <c r="D51" s="574"/>
      <c r="E51" s="574"/>
      <c r="F51" s="574"/>
      <c r="G51" s="574"/>
      <c r="H51" s="574"/>
      <c r="I51" s="574"/>
      <c r="M51" s="167"/>
    </row>
    <row r="52" spans="1:18" s="15" customFormat="1" ht="12.9" customHeight="1">
      <c r="A52" s="15" t="str">
        <f>IF(OR(N37="x",N36="x"),"Cell Error","")</f>
        <v/>
      </c>
      <c r="B52" s="156" t="str">
        <f>IF(OR(N37="x",N36="x"),"X","")</f>
        <v/>
      </c>
      <c r="C52" s="601" t="str">
        <f>IF(OR(N37="x",N36="x"),"Double check your columns for '#VALUE!' - this indicates an error on that line item.","")</f>
        <v/>
      </c>
      <c r="D52" s="601"/>
      <c r="E52" s="601"/>
      <c r="F52" s="601"/>
      <c r="G52" s="601"/>
      <c r="H52" s="601"/>
      <c r="I52" s="601"/>
      <c r="J52" s="574"/>
      <c r="M52" s="167" t="str">
        <f>IF(B52="x","X","")</f>
        <v/>
      </c>
    </row>
    <row r="53" spans="1:18">
      <c r="A53" s="15"/>
      <c r="B53" s="15"/>
      <c r="C53" s="15"/>
      <c r="D53" s="15"/>
      <c r="E53" s="15"/>
      <c r="F53" s="397"/>
      <c r="G53" s="397"/>
      <c r="H53" s="397"/>
      <c r="I53" s="397"/>
      <c r="J53" s="397"/>
      <c r="K53" s="397"/>
      <c r="L53" s="397"/>
      <c r="M53" s="397"/>
      <c r="N53" s="397"/>
      <c r="O53" s="397"/>
      <c r="P53" s="397"/>
      <c r="Q53" s="397"/>
      <c r="R53" s="397"/>
    </row>
    <row r="54" spans="1:18">
      <c r="A54" s="15"/>
      <c r="B54" s="15"/>
      <c r="C54" s="15"/>
      <c r="D54" s="15"/>
      <c r="E54" s="15"/>
      <c r="F54" s="397"/>
      <c r="G54" s="397"/>
      <c r="H54" s="397"/>
      <c r="I54" s="397"/>
      <c r="J54" s="397"/>
      <c r="K54" s="397"/>
      <c r="L54" s="397"/>
      <c r="M54" s="397"/>
      <c r="N54" s="397"/>
      <c r="O54" s="397"/>
      <c r="P54" s="397"/>
      <c r="Q54" s="397"/>
      <c r="R54" s="397"/>
    </row>
    <row r="55" spans="1:18">
      <c r="A55" s="15"/>
      <c r="B55" s="15"/>
      <c r="C55" s="15"/>
      <c r="D55" s="15"/>
      <c r="E55" s="15"/>
      <c r="F55" s="397"/>
      <c r="G55" s="397"/>
      <c r="H55" s="397"/>
      <c r="I55" s="397"/>
      <c r="J55" s="397"/>
      <c r="K55" s="397"/>
      <c r="L55" s="397"/>
      <c r="M55" s="397"/>
      <c r="N55" s="397"/>
      <c r="O55" s="397"/>
      <c r="P55" s="397"/>
      <c r="Q55" s="397"/>
      <c r="R55" s="397"/>
    </row>
  </sheetData>
  <mergeCells count="14">
    <mergeCell ref="C50:I50"/>
    <mergeCell ref="C51:I51"/>
    <mergeCell ref="C52:J52"/>
    <mergeCell ref="E5:F5"/>
    <mergeCell ref="E3:F3"/>
    <mergeCell ref="D4:F4"/>
    <mergeCell ref="C47:L47"/>
    <mergeCell ref="C48:I48"/>
    <mergeCell ref="A7:L7"/>
    <mergeCell ref="B8:L8"/>
    <mergeCell ref="A38:G38"/>
    <mergeCell ref="C45:L45"/>
    <mergeCell ref="C46:I46"/>
    <mergeCell ref="A36:E36"/>
  </mergeCells>
  <conditionalFormatting sqref="C44">
    <cfRule type="cellIs" dxfId="82" priority="31" stopIfTrue="1" operator="equal">
      <formula>"You are over budget on expenditures."</formula>
    </cfRule>
  </conditionalFormatting>
  <conditionalFormatting sqref="C45">
    <cfRule type="containsText" dxfId="81" priority="29" stopIfTrue="1" operator="containsText" text="Not Ok">
      <formula>NOT(ISERROR(SEARCH("Not Ok",C45)))</formula>
    </cfRule>
  </conditionalFormatting>
  <conditionalFormatting sqref="C45:C48">
    <cfRule type="containsText" dxfId="80" priority="27" stopIfTrue="1" operator="containsText" text="Not Ok">
      <formula>NOT(ISERROR(SEARCH("Not Ok",C45)))</formula>
    </cfRule>
    <cfRule type="containsText" dxfId="79" priority="28" stopIfTrue="1" operator="containsText" text="Not Ok">
      <formula>NOT(ISERROR(SEARCH("Not Ok",C45)))</formula>
    </cfRule>
  </conditionalFormatting>
  <conditionalFormatting sqref="C46:H48 I48 C45">
    <cfRule type="containsText" dxfId="78" priority="26" stopIfTrue="1" operator="containsText" text="Not Ok">
      <formula>NOT(ISERROR(SEARCH("Not Ok",C45)))</formula>
    </cfRule>
  </conditionalFormatting>
  <conditionalFormatting sqref="A38">
    <cfRule type="containsText" dxfId="77" priority="24" stopIfTrue="1" operator="containsText" text="Not Ok">
      <formula>NOT(ISERROR(SEARCH("Not Ok",A38)))</formula>
    </cfRule>
    <cfRule type="containsText" dxfId="76" priority="25" stopIfTrue="1" operator="containsText" text="Not Ok">
      <formula>NOT(ISERROR(SEARCH("Not Ok",A38)))</formula>
    </cfRule>
  </conditionalFormatting>
  <conditionalFormatting sqref="A38:F38">
    <cfRule type="containsText" dxfId="75" priority="23" stopIfTrue="1" operator="containsText" text="Not Ok">
      <formula>NOT(ISERROR(SEARCH("Not Ok",A38)))</formula>
    </cfRule>
  </conditionalFormatting>
  <conditionalFormatting sqref="B40">
    <cfRule type="cellIs" dxfId="74" priority="21" stopIfTrue="1" operator="equal">
      <formula>"You cannot claim against this contract until all prior year program income has been expended."</formula>
    </cfRule>
  </conditionalFormatting>
  <conditionalFormatting sqref="C41">
    <cfRule type="cellIs" dxfId="73" priority="22" stopIfTrue="1" operator="equal">
      <formula>"You are over budget on expenditures."</formula>
    </cfRule>
  </conditionalFormatting>
  <conditionalFormatting sqref="C41">
    <cfRule type="cellIs" dxfId="72" priority="20" stopIfTrue="1" operator="equal">
      <formula>"You are over budget on expenditures."</formula>
    </cfRule>
  </conditionalFormatting>
  <conditionalFormatting sqref="C41">
    <cfRule type="cellIs" dxfId="71" priority="19" stopIfTrue="1" operator="equal">
      <formula>"You are over budget on expenditures."</formula>
    </cfRule>
  </conditionalFormatting>
  <conditionalFormatting sqref="C41">
    <cfRule type="cellIs" dxfId="70" priority="18" stopIfTrue="1" operator="equal">
      <formula>"You are over budget on expenditures."</formula>
    </cfRule>
  </conditionalFormatting>
  <conditionalFormatting sqref="C41">
    <cfRule type="cellIs" dxfId="69" priority="17" stopIfTrue="1" operator="equal">
      <formula>"You are over budget on expenditures."</formula>
    </cfRule>
  </conditionalFormatting>
  <conditionalFormatting sqref="C41">
    <cfRule type="cellIs" dxfId="68" priority="16" stopIfTrue="1" operator="equal">
      <formula>"You are over budget on expenditures."</formula>
    </cfRule>
  </conditionalFormatting>
  <conditionalFormatting sqref="C41">
    <cfRule type="cellIs" dxfId="67" priority="15" stopIfTrue="1" operator="equal">
      <formula>"You are over budget on expenditures."</formula>
    </cfRule>
  </conditionalFormatting>
  <conditionalFormatting sqref="C41">
    <cfRule type="cellIs" dxfId="66" priority="14" stopIfTrue="1" operator="equal">
      <formula>"You are over budget on expenditures."</formula>
    </cfRule>
  </conditionalFormatting>
  <conditionalFormatting sqref="C41">
    <cfRule type="cellIs" dxfId="65" priority="13" stopIfTrue="1" operator="equal">
      <formula>"You are over budget on expenditures."</formula>
    </cfRule>
  </conditionalFormatting>
  <conditionalFormatting sqref="B39:B40 C39:M39">
    <cfRule type="cellIs" dxfId="64" priority="12" stopIfTrue="1" operator="equal">
      <formula>"You cannot claim against this contract until all prior year program income has been expended."</formula>
    </cfRule>
  </conditionalFormatting>
  <conditionalFormatting sqref="M10:M25">
    <cfRule type="containsText" dxfId="63" priority="8" operator="containsText" text="#">
      <formula>NOT(ISERROR(SEARCH("#",M10)))</formula>
    </cfRule>
  </conditionalFormatting>
  <conditionalFormatting sqref="F36:L36">
    <cfRule type="containsText" dxfId="62" priority="7" operator="containsText" text="Error">
      <formula>NOT(ISERROR(SEARCH("Error",F36)))</formula>
    </cfRule>
  </conditionalFormatting>
  <conditionalFormatting sqref="B50">
    <cfRule type="cellIs" dxfId="61" priority="5" stopIfTrue="1" operator="equal">
      <formula>"You cannot claim against this contract until all prior year program income has been expended."</formula>
    </cfRule>
  </conditionalFormatting>
  <conditionalFormatting sqref="C50:C51">
    <cfRule type="containsText" dxfId="60" priority="4" operator="containsText" text="You">
      <formula>NOT(ISERROR(SEARCH("You",C50)))</formula>
    </cfRule>
  </conditionalFormatting>
  <conditionalFormatting sqref="M50:M51">
    <cfRule type="containsText" dxfId="59" priority="3" operator="containsText" text="You">
      <formula>NOT(ISERROR(SEARCH("You",M50)))</formula>
    </cfRule>
  </conditionalFormatting>
  <conditionalFormatting sqref="C52">
    <cfRule type="containsText" dxfId="58" priority="2" operator="containsText" text="Double">
      <formula>NOT(ISERROR(SEARCH("Double",C52)))</formula>
    </cfRule>
  </conditionalFormatting>
  <conditionalFormatting sqref="M52">
    <cfRule type="containsText" dxfId="57" priority="1" operator="containsText" text="You">
      <formula>NOT(ISERROR(SEARCH("You",M52)))</formula>
    </cfRule>
  </conditionalFormatting>
  <dataValidations count="1">
    <dataValidation type="whole" allowBlank="1" showInputMessage="1" showErrorMessage="1" errorTitle="Whole Number Validation" error="You must enter all dollars as whole numbers - no decimals (cents) or spaces." sqref="F10:L25" xr:uid="{8F548F72-2F58-437C-828F-7B6A1AC22081}">
      <formula1>0</formula1>
      <formula2>1000000</formula2>
    </dataValidation>
  </dataValidations>
  <printOptions horizontalCentered="1"/>
  <pageMargins left="0.25" right="0.25" top="0.25" bottom="0.5" header="0" footer="0"/>
  <pageSetup scale="73" orientation="landscape" r:id="rId1"/>
  <ignoredErrors>
    <ignoredError sqref="M39 M22 M35" evalError="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BAEE5-CB97-40CF-9467-D1AF1293B3B3}">
  <sheetPr>
    <tabColor rgb="FFFFFF00"/>
    <pageSetUpPr fitToPage="1"/>
  </sheetPr>
  <dimension ref="A1:R56"/>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ColWidth="9.109375" defaultRowHeight="15" customHeight="1"/>
  <cols>
    <col min="1" max="1" width="31.6640625" style="397" customWidth="1"/>
    <col min="2" max="12" width="12.6640625" style="397" customWidth="1"/>
    <col min="13" max="13" width="15.6640625" style="397" customWidth="1"/>
    <col min="14" max="14" width="9.109375" style="15"/>
    <col min="15" max="16384" width="9.109375" style="397"/>
  </cols>
  <sheetData>
    <row r="1" spans="1:14" s="15" customFormat="1" ht="15" customHeight="1">
      <c r="A1" s="601" t="str">
        <f>IF(N1="x","End of Year approaching, please address errors listed below.","")</f>
        <v/>
      </c>
      <c r="B1" s="601"/>
      <c r="C1" s="601"/>
      <c r="K1" s="604" t="s">
        <v>1336</v>
      </c>
      <c r="L1" s="572"/>
      <c r="M1" s="397"/>
      <c r="N1" s="167" t="str">
        <f>IF(AND(G5="x",OR(M43="x",M44="x",M45="x",M46="x",M47="x",M50="x",M51="x",M52="x")),"x","")</f>
        <v/>
      </c>
    </row>
    <row r="2" spans="1:14" s="15" customFormat="1" ht="15" customHeight="1">
      <c r="A2" s="601" t="str">
        <f>IF(N2="x","Please address the errors listed below.","")</f>
        <v/>
      </c>
      <c r="B2" s="574"/>
      <c r="F2" s="156" t="s">
        <v>1121</v>
      </c>
      <c r="K2" s="603" t="s">
        <v>1337</v>
      </c>
      <c r="L2" s="572"/>
      <c r="M2" s="397"/>
      <c r="N2" s="167" t="str">
        <f>IF(G5="x","",IF(OR(M50="x",M51="x",M43="x"),"x",""))</f>
        <v/>
      </c>
    </row>
    <row r="3" spans="1:14" s="15" customFormat="1" ht="15" customHeight="1">
      <c r="A3" s="17" t="s">
        <v>1123</v>
      </c>
      <c r="E3" s="608" t="str">
        <f>CAUTAU!A99</f>
        <v>Menominee Tribe</v>
      </c>
      <c r="F3" s="608"/>
      <c r="G3" s="167" t="str">
        <f>LOOKUP(E3,Allocations!A4:A92,Allocations!B4:B92)</f>
        <v>X</v>
      </c>
      <c r="K3" s="634" t="s">
        <v>1338</v>
      </c>
      <c r="L3" s="635"/>
      <c r="N3" s="62"/>
    </row>
    <row r="4" spans="1:14" s="15" customFormat="1" ht="15" customHeight="1">
      <c r="A4" s="17" t="s">
        <v>1125</v>
      </c>
      <c r="D4" s="608" t="e">
        <f>LOOKUP(E5,Date,'Addl Info'!I21:I33)</f>
        <v>#N/A</v>
      </c>
      <c r="E4" s="609"/>
      <c r="F4" s="609"/>
      <c r="G4" s="62"/>
    </row>
    <row r="5" spans="1:14" s="15" customFormat="1" ht="15" customHeight="1">
      <c r="A5" s="17" t="s">
        <v>1126</v>
      </c>
      <c r="E5" s="608" t="str">
        <f>CAUTAU!A100</f>
        <v/>
      </c>
      <c r="F5" s="608"/>
      <c r="G5" s="62" t="str">
        <f>IF(OR(E5="June  2018",E5="August 2018",E5="September 2018",E5="Final Submission 2018"),"x","")</f>
        <v/>
      </c>
    </row>
    <row r="6" spans="1:14" s="15" customFormat="1" ht="15" customHeight="1">
      <c r="A6" s="17" t="s">
        <v>1127</v>
      </c>
      <c r="F6" s="152" t="e">
        <f>IF(D4="Non-Submission Period",0,LOOKUP(E3,CAUTAU,Allocations!T4:T92))</f>
        <v>#N/A</v>
      </c>
    </row>
    <row r="7" spans="1:14" ht="15" customHeight="1">
      <c r="A7" s="606"/>
      <c r="B7" s="607"/>
      <c r="C7" s="607"/>
      <c r="D7" s="607"/>
      <c r="E7" s="607"/>
      <c r="F7" s="607"/>
      <c r="G7" s="607"/>
      <c r="H7" s="607"/>
      <c r="I7" s="607"/>
      <c r="J7" s="607"/>
      <c r="K7" s="607"/>
      <c r="L7" s="607"/>
    </row>
    <row r="8" spans="1:14" s="2" customFormat="1" ht="15" customHeight="1" thickBot="1">
      <c r="A8" s="1"/>
      <c r="B8" s="641" t="s">
        <v>1349</v>
      </c>
      <c r="C8" s="573"/>
      <c r="D8" s="573"/>
      <c r="E8" s="574"/>
      <c r="F8" s="574"/>
      <c r="G8" s="574"/>
      <c r="H8" s="574"/>
      <c r="I8" s="574"/>
      <c r="J8" s="574"/>
    </row>
    <row r="9" spans="1:14" ht="77.099999999999994" customHeight="1">
      <c r="A9" s="187" t="s">
        <v>1128</v>
      </c>
      <c r="B9" s="188" t="s">
        <v>1350</v>
      </c>
      <c r="C9" s="189" t="s">
        <v>358</v>
      </c>
      <c r="D9" s="179" t="s">
        <v>1131</v>
      </c>
      <c r="E9" s="179" t="s">
        <v>1132</v>
      </c>
      <c r="F9" s="179" t="s">
        <v>1133</v>
      </c>
      <c r="G9" s="179" t="s">
        <v>1134</v>
      </c>
      <c r="H9" s="179" t="s">
        <v>1135</v>
      </c>
      <c r="I9" s="179" t="s">
        <v>321</v>
      </c>
      <c r="J9" s="179" t="s">
        <v>325</v>
      </c>
      <c r="K9" s="179" t="s">
        <v>1136</v>
      </c>
      <c r="L9" s="190" t="s">
        <v>1137</v>
      </c>
      <c r="M9" s="154" t="s">
        <v>331</v>
      </c>
    </row>
    <row r="10" spans="1:14" ht="12.9" customHeight="1">
      <c r="A10" s="181" t="s">
        <v>1138</v>
      </c>
      <c r="B10" s="323"/>
      <c r="C10" s="323"/>
      <c r="D10" s="323"/>
      <c r="E10" s="323"/>
      <c r="F10" s="323"/>
      <c r="G10" s="323"/>
      <c r="H10" s="323"/>
      <c r="I10" s="323"/>
      <c r="J10" s="323"/>
      <c r="K10" s="323"/>
      <c r="L10" s="324"/>
      <c r="M10" s="322"/>
      <c r="N10" s="225"/>
    </row>
    <row r="11" spans="1:14" ht="12.9" customHeight="1">
      <c r="A11" s="181" t="s">
        <v>1139</v>
      </c>
      <c r="B11" s="323"/>
      <c r="C11" s="323"/>
      <c r="D11" s="323"/>
      <c r="E11" s="323"/>
      <c r="F11" s="323"/>
      <c r="G11" s="323"/>
      <c r="H11" s="323"/>
      <c r="I11" s="323"/>
      <c r="J11" s="323"/>
      <c r="K11" s="323"/>
      <c r="L11" s="324"/>
      <c r="M11" s="322"/>
      <c r="N11" s="225"/>
    </row>
    <row r="12" spans="1:14" ht="12.9" customHeight="1">
      <c r="A12" s="181" t="s">
        <v>1140</v>
      </c>
      <c r="B12" s="323"/>
      <c r="C12" s="323"/>
      <c r="D12" s="323"/>
      <c r="E12" s="323"/>
      <c r="F12" s="323"/>
      <c r="G12" s="323"/>
      <c r="H12" s="323"/>
      <c r="I12" s="323"/>
      <c r="J12" s="323"/>
      <c r="K12" s="323"/>
      <c r="L12" s="324"/>
      <c r="M12" s="322"/>
      <c r="N12" s="225"/>
    </row>
    <row r="13" spans="1:14" ht="12.9" customHeight="1">
      <c r="A13" s="181" t="s">
        <v>1141</v>
      </c>
      <c r="B13" s="323"/>
      <c r="C13" s="323"/>
      <c r="D13" s="323"/>
      <c r="E13" s="323"/>
      <c r="F13" s="323"/>
      <c r="G13" s="323"/>
      <c r="H13" s="323"/>
      <c r="I13" s="323"/>
      <c r="J13" s="323"/>
      <c r="K13" s="323"/>
      <c r="L13" s="324"/>
      <c r="M13" s="322"/>
      <c r="N13" s="225"/>
    </row>
    <row r="14" spans="1:14" ht="12.9" customHeight="1">
      <c r="A14" s="181" t="s">
        <v>1142</v>
      </c>
      <c r="B14" s="323"/>
      <c r="C14" s="323"/>
      <c r="D14" s="323"/>
      <c r="E14" s="323"/>
      <c r="F14" s="323"/>
      <c r="G14" s="323"/>
      <c r="H14" s="323"/>
      <c r="I14" s="323"/>
      <c r="J14" s="323"/>
      <c r="K14" s="323"/>
      <c r="L14" s="324"/>
      <c r="M14" s="322"/>
      <c r="N14" s="225"/>
    </row>
    <row r="15" spans="1:14" ht="12.9" customHeight="1">
      <c r="A15" s="181" t="s">
        <v>1143</v>
      </c>
      <c r="B15" s="323"/>
      <c r="C15" s="323"/>
      <c r="D15" s="323"/>
      <c r="E15" s="323"/>
      <c r="F15" s="323"/>
      <c r="G15" s="323"/>
      <c r="H15" s="323"/>
      <c r="I15" s="323"/>
      <c r="J15" s="323"/>
      <c r="K15" s="323"/>
      <c r="L15" s="324"/>
      <c r="M15" s="322"/>
      <c r="N15" s="225"/>
    </row>
    <row r="16" spans="1:14" ht="12.9" customHeight="1">
      <c r="A16" s="181" t="s">
        <v>1144</v>
      </c>
      <c r="B16" s="323"/>
      <c r="C16" s="323"/>
      <c r="D16" s="323"/>
      <c r="E16" s="323"/>
      <c r="F16" s="323"/>
      <c r="G16" s="323"/>
      <c r="H16" s="323"/>
      <c r="I16" s="323"/>
      <c r="J16" s="323"/>
      <c r="K16" s="323"/>
      <c r="L16" s="324"/>
      <c r="M16" s="322"/>
      <c r="N16" s="225"/>
    </row>
    <row r="17" spans="1:14" ht="12.9" customHeight="1">
      <c r="A17" s="181" t="s">
        <v>1145</v>
      </c>
      <c r="B17" s="323"/>
      <c r="C17" s="323"/>
      <c r="D17" s="323"/>
      <c r="E17" s="323"/>
      <c r="F17" s="323"/>
      <c r="G17" s="323"/>
      <c r="H17" s="323"/>
      <c r="I17" s="323"/>
      <c r="J17" s="323"/>
      <c r="K17" s="323"/>
      <c r="L17" s="324"/>
      <c r="M17" s="322"/>
      <c r="N17" s="225"/>
    </row>
    <row r="18" spans="1:14" ht="12.9" customHeight="1">
      <c r="A18" s="181" t="s">
        <v>1146</v>
      </c>
      <c r="B18" s="323"/>
      <c r="C18" s="323"/>
      <c r="D18" s="323"/>
      <c r="E18" s="323"/>
      <c r="F18" s="323"/>
      <c r="G18" s="323"/>
      <c r="H18" s="323"/>
      <c r="I18" s="323"/>
      <c r="J18" s="323"/>
      <c r="K18" s="323"/>
      <c r="L18" s="324"/>
      <c r="M18" s="322"/>
      <c r="N18" s="225"/>
    </row>
    <row r="19" spans="1:14" ht="12.9" customHeight="1">
      <c r="A19" s="181" t="s">
        <v>1194</v>
      </c>
      <c r="B19" s="323"/>
      <c r="C19" s="323"/>
      <c r="D19" s="323"/>
      <c r="E19" s="323"/>
      <c r="F19" s="323"/>
      <c r="G19" s="323"/>
      <c r="H19" s="323"/>
      <c r="I19" s="323"/>
      <c r="J19" s="323"/>
      <c r="K19" s="323"/>
      <c r="L19" s="324"/>
      <c r="M19" s="322"/>
      <c r="N19" s="225"/>
    </row>
    <row r="20" spans="1:14" ht="12.9" customHeight="1">
      <c r="A20" s="181" t="s">
        <v>1195</v>
      </c>
      <c r="B20" s="323"/>
      <c r="C20" s="323"/>
      <c r="D20" s="323"/>
      <c r="E20" s="323"/>
      <c r="F20" s="323"/>
      <c r="G20" s="323"/>
      <c r="H20" s="323"/>
      <c r="I20" s="323"/>
      <c r="J20" s="323"/>
      <c r="K20" s="323"/>
      <c r="L20" s="324"/>
      <c r="M20" s="322"/>
      <c r="N20" s="225"/>
    </row>
    <row r="21" spans="1:14" ht="12.9" customHeight="1">
      <c r="A21" s="181" t="s">
        <v>1149</v>
      </c>
      <c r="B21" s="318"/>
      <c r="C21" s="306"/>
      <c r="D21" s="323"/>
      <c r="E21" s="323"/>
      <c r="F21" s="323"/>
      <c r="G21" s="323"/>
      <c r="H21" s="323"/>
      <c r="I21" s="323"/>
      <c r="J21" s="323"/>
      <c r="K21" s="323"/>
      <c r="L21" s="324"/>
      <c r="M21" s="308">
        <f>C21</f>
        <v>0</v>
      </c>
      <c r="N21" s="225"/>
    </row>
    <row r="22" spans="1:14" ht="12.9" customHeight="1">
      <c r="A22" s="181" t="s">
        <v>1150</v>
      </c>
      <c r="B22" s="323"/>
      <c r="C22" s="323"/>
      <c r="D22" s="323"/>
      <c r="E22" s="323"/>
      <c r="F22" s="323"/>
      <c r="G22" s="323"/>
      <c r="H22" s="323"/>
      <c r="I22" s="323"/>
      <c r="J22" s="323"/>
      <c r="K22" s="323"/>
      <c r="L22" s="324"/>
      <c r="M22" s="322"/>
      <c r="N22" s="225"/>
    </row>
    <row r="23" spans="1:14" ht="12.9" customHeight="1">
      <c r="A23" s="181" t="s">
        <v>1151</v>
      </c>
      <c r="B23" s="323"/>
      <c r="C23" s="323"/>
      <c r="D23" s="323"/>
      <c r="E23" s="323"/>
      <c r="F23" s="323"/>
      <c r="G23" s="323"/>
      <c r="H23" s="323"/>
      <c r="I23" s="323"/>
      <c r="J23" s="323"/>
      <c r="K23" s="323"/>
      <c r="L23" s="324"/>
      <c r="M23" s="322"/>
      <c r="N23" s="225"/>
    </row>
    <row r="24" spans="1:14" ht="12.9" customHeight="1">
      <c r="A24" s="181" t="s">
        <v>1152</v>
      </c>
      <c r="B24" s="323"/>
      <c r="C24" s="323"/>
      <c r="D24" s="323"/>
      <c r="E24" s="323"/>
      <c r="F24" s="323"/>
      <c r="G24" s="323"/>
      <c r="H24" s="323"/>
      <c r="I24" s="323"/>
      <c r="J24" s="323"/>
      <c r="K24" s="323"/>
      <c r="L24" s="324"/>
      <c r="M24" s="322"/>
      <c r="N24" s="225"/>
    </row>
    <row r="25" spans="1:14" ht="12.9" customHeight="1">
      <c r="A25" s="191" t="s">
        <v>1196</v>
      </c>
      <c r="B25" s="323"/>
      <c r="C25" s="323"/>
      <c r="D25" s="323"/>
      <c r="E25" s="323"/>
      <c r="F25" s="323"/>
      <c r="G25" s="323"/>
      <c r="H25" s="323"/>
      <c r="I25" s="323"/>
      <c r="J25" s="323"/>
      <c r="K25" s="323"/>
      <c r="L25" s="324"/>
      <c r="M25" s="322"/>
      <c r="N25" s="225"/>
    </row>
    <row r="26" spans="1:14" ht="12.9" customHeight="1">
      <c r="A26" s="181" t="s">
        <v>1197</v>
      </c>
      <c r="B26" s="323"/>
      <c r="C26" s="323"/>
      <c r="D26" s="323"/>
      <c r="E26" s="323"/>
      <c r="F26" s="323"/>
      <c r="G26" s="323"/>
      <c r="H26" s="323"/>
      <c r="I26" s="323"/>
      <c r="J26" s="323"/>
      <c r="K26" s="323"/>
      <c r="L26" s="324"/>
      <c r="M26" s="322"/>
      <c r="N26" s="225"/>
    </row>
    <row r="27" spans="1:14" ht="12.9" customHeight="1">
      <c r="A27" s="181"/>
      <c r="B27" s="323"/>
      <c r="C27" s="323"/>
      <c r="D27" s="323"/>
      <c r="E27" s="323"/>
      <c r="F27" s="323"/>
      <c r="G27" s="323"/>
      <c r="H27" s="323"/>
      <c r="I27" s="323"/>
      <c r="J27" s="323"/>
      <c r="K27" s="323"/>
      <c r="L27" s="324"/>
      <c r="M27" s="322"/>
      <c r="N27" s="225"/>
    </row>
    <row r="28" spans="1:14" ht="12.9" customHeight="1">
      <c r="A28" s="181"/>
      <c r="B28" s="323"/>
      <c r="C28" s="323"/>
      <c r="D28" s="323"/>
      <c r="E28" s="323"/>
      <c r="F28" s="323"/>
      <c r="G28" s="323"/>
      <c r="H28" s="323"/>
      <c r="I28" s="323"/>
      <c r="J28" s="323"/>
      <c r="K28" s="323"/>
      <c r="L28" s="324"/>
      <c r="M28" s="322"/>
      <c r="N28" s="225"/>
    </row>
    <row r="29" spans="1:14" ht="12.9" customHeight="1">
      <c r="A29" s="181"/>
      <c r="B29" s="323"/>
      <c r="C29" s="323"/>
      <c r="D29" s="323"/>
      <c r="E29" s="323"/>
      <c r="F29" s="323"/>
      <c r="G29" s="323"/>
      <c r="H29" s="323"/>
      <c r="I29" s="323"/>
      <c r="J29" s="323"/>
      <c r="K29" s="323"/>
      <c r="L29" s="324"/>
      <c r="M29" s="322"/>
      <c r="N29" s="225"/>
    </row>
    <row r="30" spans="1:14" ht="12.9" customHeight="1">
      <c r="A30" s="181"/>
      <c r="B30" s="323"/>
      <c r="C30" s="323"/>
      <c r="D30" s="323"/>
      <c r="E30" s="323"/>
      <c r="F30" s="323"/>
      <c r="G30" s="323"/>
      <c r="H30" s="323"/>
      <c r="I30" s="323"/>
      <c r="J30" s="323"/>
      <c r="K30" s="323"/>
      <c r="L30" s="324"/>
      <c r="M30" s="322"/>
      <c r="N30" s="225"/>
    </row>
    <row r="31" spans="1:14" ht="12.9" customHeight="1">
      <c r="A31" s="181"/>
      <c r="B31" s="323"/>
      <c r="C31" s="323"/>
      <c r="D31" s="323"/>
      <c r="E31" s="323"/>
      <c r="F31" s="323"/>
      <c r="G31" s="323"/>
      <c r="H31" s="323"/>
      <c r="I31" s="323"/>
      <c r="J31" s="323"/>
      <c r="K31" s="323"/>
      <c r="L31" s="324"/>
      <c r="M31" s="322"/>
      <c r="N31" s="225"/>
    </row>
    <row r="32" spans="1:14" ht="12.9" customHeight="1">
      <c r="A32" s="181"/>
      <c r="B32" s="323"/>
      <c r="C32" s="323"/>
      <c r="D32" s="323"/>
      <c r="E32" s="323"/>
      <c r="F32" s="323"/>
      <c r="G32" s="323"/>
      <c r="H32" s="323"/>
      <c r="I32" s="323"/>
      <c r="J32" s="323"/>
      <c r="K32" s="323"/>
      <c r="L32" s="324"/>
      <c r="M32" s="322"/>
      <c r="N32" s="225"/>
    </row>
    <row r="33" spans="1:14" ht="12.9" customHeight="1">
      <c r="A33" s="181"/>
      <c r="B33" s="323"/>
      <c r="C33" s="323"/>
      <c r="D33" s="323"/>
      <c r="E33" s="323"/>
      <c r="F33" s="323"/>
      <c r="G33" s="323"/>
      <c r="H33" s="323"/>
      <c r="I33" s="323"/>
      <c r="J33" s="323"/>
      <c r="K33" s="323"/>
      <c r="L33" s="324"/>
      <c r="M33" s="322"/>
      <c r="N33" s="225"/>
    </row>
    <row r="34" spans="1:14" s="15" customFormat="1" ht="12.9" customHeight="1" thickBot="1">
      <c r="A34" s="192"/>
      <c r="B34" s="314"/>
      <c r="C34" s="314"/>
      <c r="D34" s="314"/>
      <c r="E34" s="314"/>
      <c r="F34" s="314"/>
      <c r="G34" s="314"/>
      <c r="H34" s="314"/>
      <c r="I34" s="314"/>
      <c r="J34" s="314"/>
      <c r="K34" s="314"/>
      <c r="L34" s="314"/>
      <c r="M34" s="315"/>
      <c r="N34" s="225"/>
    </row>
    <row r="35" spans="1:14" s="15" customFormat="1" ht="12.9" customHeight="1" thickTop="1" thickBot="1">
      <c r="A35" s="193" t="s">
        <v>210</v>
      </c>
      <c r="B35" s="316">
        <f>SUM(B10:B34)</f>
        <v>0</v>
      </c>
      <c r="C35" s="316">
        <f t="shared" ref="C35:L35" si="0">SUM(C10:C34)</f>
        <v>0</v>
      </c>
      <c r="D35" s="316">
        <f t="shared" si="0"/>
        <v>0</v>
      </c>
      <c r="E35" s="316">
        <f t="shared" si="0"/>
        <v>0</v>
      </c>
      <c r="F35" s="316">
        <f t="shared" si="0"/>
        <v>0</v>
      </c>
      <c r="G35" s="316">
        <f t="shared" si="0"/>
        <v>0</v>
      </c>
      <c r="H35" s="316">
        <f t="shared" si="0"/>
        <v>0</v>
      </c>
      <c r="I35" s="316">
        <f t="shared" si="0"/>
        <v>0</v>
      </c>
      <c r="J35" s="316">
        <f t="shared" si="0"/>
        <v>0</v>
      </c>
      <c r="K35" s="316">
        <f t="shared" si="0"/>
        <v>0</v>
      </c>
      <c r="L35" s="316">
        <f t="shared" si="0"/>
        <v>0</v>
      </c>
      <c r="M35" s="308">
        <f>C35</f>
        <v>0</v>
      </c>
      <c r="N35" s="225"/>
    </row>
    <row r="36" spans="1:14" s="15" customFormat="1" ht="12.9" customHeight="1">
      <c r="A36" s="17"/>
      <c r="B36" s="171"/>
      <c r="C36" s="171"/>
      <c r="D36" s="171"/>
      <c r="E36" s="171"/>
      <c r="F36" s="171"/>
      <c r="G36" s="171"/>
      <c r="H36" s="171"/>
      <c r="I36" s="171"/>
      <c r="J36" s="171"/>
      <c r="K36" s="171"/>
      <c r="L36" s="171"/>
      <c r="M36" s="226"/>
      <c r="N36" s="226"/>
    </row>
    <row r="37" spans="1:14" s="15" customFormat="1" ht="12.9" customHeight="1">
      <c r="B37" s="225"/>
      <c r="C37" s="225"/>
      <c r="D37" s="225"/>
      <c r="E37" s="225"/>
      <c r="F37" s="225"/>
      <c r="G37" s="225"/>
      <c r="H37" s="225"/>
      <c r="I37" s="225"/>
      <c r="J37" s="225"/>
      <c r="K37" s="225"/>
      <c r="L37" s="225"/>
      <c r="N37" s="226"/>
    </row>
    <row r="38" spans="1:14" ht="12.9" customHeight="1">
      <c r="B38" s="12"/>
      <c r="C38" s="12"/>
      <c r="D38" s="12"/>
      <c r="E38" s="12"/>
      <c r="F38" s="12"/>
      <c r="G38" s="12"/>
      <c r="H38" s="12"/>
      <c r="I38" s="12"/>
      <c r="J38" s="12"/>
      <c r="K38" s="12"/>
      <c r="L38" s="12"/>
      <c r="M38" s="62"/>
    </row>
    <row r="39" spans="1:14" ht="12.9" customHeight="1">
      <c r="B39" s="12"/>
      <c r="C39" s="12"/>
      <c r="D39" s="12"/>
      <c r="E39" s="12"/>
      <c r="F39" s="12"/>
      <c r="G39" s="12"/>
      <c r="H39" s="12"/>
      <c r="I39" s="12"/>
      <c r="J39" s="12"/>
      <c r="K39" s="12"/>
      <c r="L39" s="12"/>
      <c r="M39" s="62"/>
    </row>
    <row r="40" spans="1:14" ht="12.9" customHeight="1">
      <c r="B40" s="12"/>
      <c r="C40" s="12"/>
      <c r="D40" s="12"/>
      <c r="E40" s="12"/>
      <c r="F40" s="12"/>
      <c r="G40" s="12"/>
      <c r="H40" s="12"/>
      <c r="I40" s="12"/>
      <c r="J40" s="12"/>
      <c r="K40" s="12"/>
      <c r="L40" s="12"/>
      <c r="M40" s="62"/>
    </row>
    <row r="41" spans="1:14" ht="12.9" customHeight="1">
      <c r="B41" s="12"/>
      <c r="C41" s="12"/>
      <c r="D41" s="12"/>
      <c r="E41" s="12"/>
      <c r="F41" s="12"/>
      <c r="G41" s="12"/>
      <c r="H41" s="12"/>
      <c r="I41" s="12"/>
      <c r="J41" s="12"/>
      <c r="K41" s="12"/>
      <c r="L41" s="12"/>
      <c r="M41" s="62"/>
    </row>
    <row r="42" spans="1:14" ht="12.9" customHeight="1">
      <c r="B42" s="12"/>
      <c r="C42" s="12"/>
      <c r="D42" s="12"/>
      <c r="E42" s="12"/>
      <c r="F42" s="12"/>
      <c r="G42" s="12"/>
      <c r="H42" s="12"/>
      <c r="I42" s="12"/>
      <c r="J42" s="12"/>
      <c r="K42" s="12"/>
      <c r="L42" s="12"/>
      <c r="M42" s="168"/>
    </row>
    <row r="43" spans="1:14" ht="12.9" customHeight="1">
      <c r="A43" s="15" t="s">
        <v>1161</v>
      </c>
      <c r="B43" s="147" t="e">
        <f>(F6-C35)</f>
        <v>#N/A</v>
      </c>
      <c r="C43" s="610" t="e">
        <f>IF(F6-C35&lt;0,"Not Ok - You are over budget on expenditures.","")</f>
        <v>#N/A</v>
      </c>
      <c r="D43" s="611"/>
      <c r="E43" s="611"/>
      <c r="F43" s="574"/>
      <c r="G43" s="15"/>
      <c r="H43" s="15"/>
      <c r="I43" s="15"/>
      <c r="J43" s="15"/>
      <c r="K43" s="15"/>
      <c r="L43" s="15"/>
      <c r="M43" s="368" t="str">
        <f>IF(ISNUMBER(SEARCH("Not Ok",C43)), "X", "")</f>
        <v/>
      </c>
      <c r="N43" s="166"/>
    </row>
    <row r="44" spans="1:14" ht="12.9" customHeight="1">
      <c r="A44" s="15"/>
      <c r="B44" s="159"/>
      <c r="C44" s="601"/>
      <c r="D44" s="601"/>
      <c r="E44" s="601"/>
      <c r="F44" s="601"/>
      <c r="G44" s="601"/>
      <c r="H44" s="601"/>
      <c r="I44" s="601"/>
      <c r="J44" s="601"/>
      <c r="K44" s="601"/>
      <c r="L44" s="601"/>
      <c r="M44" s="368" t="str">
        <f t="shared" ref="M44:M52" si="1">IF(ISNUMBER(SEARCH("Not Ok",C44)), "X", "")</f>
        <v/>
      </c>
      <c r="N44" s="17"/>
    </row>
    <row r="45" spans="1:14" ht="12.9" customHeight="1">
      <c r="A45" s="15"/>
      <c r="B45" s="159"/>
      <c r="C45" s="601"/>
      <c r="D45" s="602"/>
      <c r="E45" s="602"/>
      <c r="F45" s="602"/>
      <c r="G45" s="602"/>
      <c r="H45" s="602"/>
      <c r="I45" s="602"/>
      <c r="J45" s="15"/>
      <c r="K45" s="15"/>
      <c r="L45" s="15"/>
      <c r="M45" s="368" t="str">
        <f t="shared" si="1"/>
        <v/>
      </c>
    </row>
    <row r="46" spans="1:14" ht="12.9" customHeight="1">
      <c r="A46" s="15"/>
      <c r="B46" s="159"/>
      <c r="C46" s="601"/>
      <c r="D46" s="601"/>
      <c r="E46" s="601"/>
      <c r="F46" s="601"/>
      <c r="G46" s="601"/>
      <c r="H46" s="601"/>
      <c r="I46" s="601"/>
      <c r="J46" s="601"/>
      <c r="K46" s="601"/>
      <c r="L46" s="601"/>
      <c r="M46" s="368" t="str">
        <f t="shared" si="1"/>
        <v/>
      </c>
      <c r="N46" s="17"/>
    </row>
    <row r="47" spans="1:14" ht="12.9" customHeight="1">
      <c r="A47" s="15"/>
      <c r="B47" s="147"/>
      <c r="C47" s="601"/>
      <c r="D47" s="602"/>
      <c r="E47" s="602"/>
      <c r="F47" s="602"/>
      <c r="G47" s="602"/>
      <c r="H47" s="602"/>
      <c r="I47" s="602"/>
      <c r="J47" s="15"/>
      <c r="K47" s="15"/>
      <c r="L47" s="15"/>
      <c r="M47" s="368" t="str">
        <f t="shared" si="1"/>
        <v/>
      </c>
    </row>
    <row r="48" spans="1:14" ht="12.9" customHeight="1">
      <c r="A48" s="15"/>
      <c r="B48" s="217"/>
      <c r="C48" s="15"/>
      <c r="D48" s="15"/>
      <c r="E48" s="15"/>
      <c r="F48" s="15"/>
      <c r="G48" s="15"/>
      <c r="H48" s="15"/>
      <c r="I48" s="15"/>
      <c r="J48" s="15"/>
      <c r="K48" s="15"/>
      <c r="L48" s="15"/>
      <c r="M48" s="368" t="str">
        <f t="shared" si="1"/>
        <v/>
      </c>
    </row>
    <row r="49" spans="1:18" ht="12.9" customHeight="1">
      <c r="A49" s="15"/>
      <c r="B49" s="147"/>
      <c r="C49" s="600"/>
      <c r="D49" s="600"/>
      <c r="E49" s="600"/>
      <c r="F49" s="600"/>
      <c r="G49" s="600"/>
      <c r="H49" s="600"/>
      <c r="I49" s="600"/>
      <c r="J49" s="15"/>
      <c r="K49" s="15"/>
      <c r="L49" s="15"/>
      <c r="M49" s="368" t="str">
        <f t="shared" si="1"/>
        <v/>
      </c>
    </row>
    <row r="50" spans="1:18" s="15" customFormat="1" ht="12.9" customHeight="1">
      <c r="B50" s="227"/>
      <c r="C50" s="600"/>
      <c r="D50" s="574"/>
      <c r="E50" s="574"/>
      <c r="F50" s="574"/>
      <c r="G50" s="574"/>
      <c r="H50" s="574"/>
      <c r="I50" s="574"/>
      <c r="J50" s="574"/>
      <c r="K50" s="574"/>
      <c r="M50" s="368" t="str">
        <f t="shared" si="1"/>
        <v/>
      </c>
      <c r="N50" s="146"/>
      <c r="O50" s="146"/>
      <c r="P50" s="146"/>
      <c r="Q50" s="146"/>
      <c r="R50" s="146"/>
    </row>
    <row r="51" spans="1:18" s="15" customFormat="1" ht="12.9" customHeight="1">
      <c r="A51" s="15" t="e">
        <f>IF(B51="x","Non-Submission Period","")</f>
        <v>#N/A</v>
      </c>
      <c r="B51" s="227" t="e">
        <f>IF(AND(C35&gt;0,D4="Non-Submission Period"),"X","")</f>
        <v>#N/A</v>
      </c>
      <c r="C51" s="600" t="e">
        <f>IF(B51="x","Not Ok - You cannot claim against this contract as this is a Non-Submission Period for the contract.","")</f>
        <v>#N/A</v>
      </c>
      <c r="D51" s="574"/>
      <c r="E51" s="574"/>
      <c r="F51" s="574"/>
      <c r="G51" s="574"/>
      <c r="H51" s="574"/>
      <c r="I51" s="574"/>
      <c r="M51" s="368" t="str">
        <f t="shared" si="1"/>
        <v/>
      </c>
    </row>
    <row r="52" spans="1:18" ht="12.9" customHeight="1">
      <c r="A52" s="15"/>
      <c r="B52" s="15"/>
      <c r="C52" s="600"/>
      <c r="D52" s="574"/>
      <c r="E52" s="574"/>
      <c r="F52" s="574"/>
      <c r="G52" s="574"/>
      <c r="H52" s="574"/>
      <c r="I52" s="574"/>
      <c r="J52" s="15"/>
      <c r="K52" s="15"/>
      <c r="L52" s="15"/>
      <c r="M52" s="368" t="str">
        <f t="shared" si="1"/>
        <v/>
      </c>
    </row>
    <row r="53" spans="1:18" ht="12.9" customHeight="1"/>
    <row r="54" spans="1:18" ht="12.9" customHeight="1"/>
    <row r="55" spans="1:18" ht="12.9" customHeight="1"/>
    <row r="56" spans="1:18" ht="12.9" customHeight="1"/>
  </sheetData>
  <sheetProtection password="C3C4" sheet="1" objects="1" scenarios="1"/>
  <mergeCells count="19">
    <mergeCell ref="C44:L44"/>
    <mergeCell ref="A1:C1"/>
    <mergeCell ref="K1:L1"/>
    <mergeCell ref="A2:B2"/>
    <mergeCell ref="K2:L2"/>
    <mergeCell ref="E3:F3"/>
    <mergeCell ref="K3:L3"/>
    <mergeCell ref="D4:F4"/>
    <mergeCell ref="E5:F5"/>
    <mergeCell ref="A7:L7"/>
    <mergeCell ref="B8:J8"/>
    <mergeCell ref="C43:F43"/>
    <mergeCell ref="C52:I52"/>
    <mergeCell ref="C45:I45"/>
    <mergeCell ref="C46:L46"/>
    <mergeCell ref="C47:I47"/>
    <mergeCell ref="C49:I49"/>
    <mergeCell ref="C50:K50"/>
    <mergeCell ref="C51:I51"/>
  </mergeCells>
  <conditionalFormatting sqref="B38:B41">
    <cfRule type="cellIs" dxfId="56" priority="20" stopIfTrue="1" operator="equal">
      <formula>"You cannot claim against this contract until all prior year program income has been expended."</formula>
    </cfRule>
  </conditionalFormatting>
  <conditionalFormatting sqref="M42">
    <cfRule type="cellIs" dxfId="55" priority="19" stopIfTrue="1" operator="equal">
      <formula>"You are over budget on expenditures."</formula>
    </cfRule>
  </conditionalFormatting>
  <conditionalFormatting sqref="M42">
    <cfRule type="containsText" dxfId="54" priority="18" operator="containsText" text="Not Ok">
      <formula>NOT(ISERROR(SEARCH("Not Ok",M42)))</formula>
    </cfRule>
  </conditionalFormatting>
  <conditionalFormatting sqref="G3">
    <cfRule type="containsText" dxfId="53" priority="15" stopIfTrue="1" operator="containsText" text="Not Ok">
      <formula>NOT(ISERROR(SEARCH("Not Ok",G3)))</formula>
    </cfRule>
  </conditionalFormatting>
  <conditionalFormatting sqref="G3">
    <cfRule type="containsText" dxfId="52" priority="16" stopIfTrue="1" operator="containsText" text="Not Ok">
      <formula>NOT(ISERROR(SEARCH("Not Ok",G3)))</formula>
    </cfRule>
    <cfRule type="containsText" dxfId="51" priority="17" stopIfTrue="1" operator="containsText" text="Not Ok">
      <formula>NOT(ISERROR(SEARCH("Not Ok",G3)))</formula>
    </cfRule>
  </conditionalFormatting>
  <conditionalFormatting sqref="N45:N47">
    <cfRule type="containsText" dxfId="50" priority="14" stopIfTrue="1" operator="containsText" text="Not Ok">
      <formula>NOT(ISERROR(SEARCH("Not Ok",N45)))</formula>
    </cfRule>
  </conditionalFormatting>
  <conditionalFormatting sqref="N43:N47">
    <cfRule type="containsText" dxfId="49" priority="13" operator="containsText" text="Not Ok">
      <formula>NOT(ISERROR(SEARCH("Not Ok",N43)))</formula>
    </cfRule>
  </conditionalFormatting>
  <conditionalFormatting sqref="M21">
    <cfRule type="containsText" dxfId="48" priority="12" operator="containsText" text="#">
      <formula>NOT(ISERROR(SEARCH("#",M21)))</formula>
    </cfRule>
  </conditionalFormatting>
  <conditionalFormatting sqref="B36:L36">
    <cfRule type="containsText" dxfId="47" priority="11" operator="containsText" text="Error">
      <formula>NOT(ISERROR(SEARCH("Error",B36)))</formula>
    </cfRule>
  </conditionalFormatting>
  <conditionalFormatting sqref="A36">
    <cfRule type="containsText" dxfId="46" priority="10" operator="containsText" text="Enter">
      <formula>NOT(ISERROR(SEARCH("Enter",A36)))</formula>
    </cfRule>
  </conditionalFormatting>
  <conditionalFormatting sqref="B50">
    <cfRule type="cellIs" dxfId="45" priority="9" stopIfTrue="1" operator="equal">
      <formula>"You cannot claim against this contract until all prior year program income has been expended."</formula>
    </cfRule>
  </conditionalFormatting>
  <conditionalFormatting sqref="C43:L49 C51:L52 C50:I50 L50">
    <cfRule type="containsText" dxfId="44" priority="8" operator="containsText" text="Not Ok">
      <formula>NOT(ISERROR(SEARCH("Not Ok",C43)))</formula>
    </cfRule>
  </conditionalFormatting>
  <conditionalFormatting sqref="N1">
    <cfRule type="containsText" dxfId="43" priority="7" operator="containsText" text="End">
      <formula>NOT(ISERROR(SEARCH("End",N1)))</formula>
    </cfRule>
  </conditionalFormatting>
  <conditionalFormatting sqref="N1">
    <cfRule type="containsText" dxfId="42" priority="6" operator="containsText" text="End">
      <formula>NOT(ISERROR(SEARCH("End",N1)))</formula>
    </cfRule>
  </conditionalFormatting>
  <conditionalFormatting sqref="N2">
    <cfRule type="containsText" dxfId="41" priority="5" operator="containsText" text="Please">
      <formula>NOT(ISERROR(SEARCH("Please",N2)))</formula>
    </cfRule>
  </conditionalFormatting>
  <conditionalFormatting sqref="A1">
    <cfRule type="containsText" dxfId="40" priority="4" operator="containsText" text="End">
      <formula>NOT(ISERROR(SEARCH("End",A1)))</formula>
    </cfRule>
  </conditionalFormatting>
  <conditionalFormatting sqref="A1">
    <cfRule type="containsText" dxfId="39" priority="3" operator="containsText" text="End">
      <formula>NOT(ISERROR(SEARCH("End",A1)))</formula>
    </cfRule>
  </conditionalFormatting>
  <conditionalFormatting sqref="A2:B2">
    <cfRule type="containsText" dxfId="38" priority="2" operator="containsText" text="Please">
      <formula>NOT(ISERROR(SEARCH("Please",A2)))</formula>
    </cfRule>
  </conditionalFormatting>
  <conditionalFormatting sqref="M35">
    <cfRule type="containsText" dxfId="37" priority="1" operator="containsText" text="#">
      <formula>NOT(ISERROR(SEARCH("#",M35)))</formula>
    </cfRule>
  </conditionalFormatting>
  <dataValidations count="2">
    <dataValidation type="whole" allowBlank="1" showInputMessage="1" showErrorMessage="1" errorTitle="Whole Number Validation" error="You must enter all dollars as whole numbers - no decimals (cents) or spaces." sqref="B21:G21" xr:uid="{48350427-F600-4F02-8EFC-A1BA8B6B821C}">
      <formula1>-100000000</formula1>
      <formula2>100000000</formula2>
    </dataValidation>
    <dataValidation type="whole" allowBlank="1" showInputMessage="1" showErrorMessage="1" errorTitle="Whole Number Validation" error="You must enter all dollars as whole numbers - no decimals (cents) or spaces." sqref="B22:G24 B19:G20" xr:uid="{11B5E6FA-791E-4ADD-B100-F0B31904340B}">
      <formula1>0</formula1>
      <formula2>1000000</formula2>
    </dataValidation>
  </dataValidations>
  <pageMargins left="0.25" right="0.25" top="0.25" bottom="0.25" header="0" footer="0"/>
  <pageSetup scale="8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pageSetUpPr fitToPage="1"/>
  </sheetPr>
  <dimension ref="A1:J76"/>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31.6640625" customWidth="1"/>
    <col min="2" max="10" width="15.6640625" customWidth="1"/>
  </cols>
  <sheetData>
    <row r="1" spans="1:10" s="15" customFormat="1" ht="15" customHeight="1">
      <c r="A1" s="601"/>
      <c r="B1" s="601"/>
      <c r="C1" s="601"/>
    </row>
    <row r="2" spans="1:10" s="15" customFormat="1" ht="15" customHeight="1">
      <c r="A2" s="601"/>
      <c r="B2" s="574"/>
      <c r="F2" s="156" t="s">
        <v>1121</v>
      </c>
    </row>
    <row r="3" spans="1:10" s="15" customFormat="1" ht="15" customHeight="1">
      <c r="A3" s="17" t="s">
        <v>1123</v>
      </c>
      <c r="E3" s="608" t="str">
        <f>CAUTAU!A99</f>
        <v>Menominee Tribe</v>
      </c>
      <c r="F3" s="608"/>
      <c r="G3" s="167" t="str">
        <f>LOOKUP(E3,Allocations!A4:A92,Allocations!B4:B92)</f>
        <v>X</v>
      </c>
    </row>
    <row r="4" spans="1:10" s="15" customFormat="1" ht="15" customHeight="1">
      <c r="A4" s="17" t="s">
        <v>1125</v>
      </c>
      <c r="D4" s="608" t="e">
        <f>LOOKUP(E5,Date,'Addl Info'!B21:B33)</f>
        <v>#N/A</v>
      </c>
      <c r="E4" s="609"/>
      <c r="F4" s="609"/>
      <c r="G4" s="62"/>
    </row>
    <row r="5" spans="1:10" s="15" customFormat="1" ht="15" customHeight="1">
      <c r="A5" s="17" t="s">
        <v>1126</v>
      </c>
      <c r="E5" s="608" t="str">
        <f>CAUTAU!A100</f>
        <v/>
      </c>
      <c r="F5" s="608"/>
      <c r="G5" s="62" t="str">
        <f>IF(OR(E5="October 2018",E5="November 2018",E5="December 2018",E5="Final Submission 2018"),"x","")</f>
        <v/>
      </c>
    </row>
    <row r="6" spans="1:10" s="15" customFormat="1" ht="15" customHeight="1">
      <c r="A6" s="17" t="s">
        <v>1127</v>
      </c>
      <c r="F6" s="152" t="e">
        <f>SUM('III-B - #11619:Other'!F6)</f>
        <v>#N/A</v>
      </c>
    </row>
    <row r="7" spans="1:10" ht="15" customHeight="1">
      <c r="A7" s="560"/>
      <c r="B7" s="561"/>
      <c r="C7" s="561"/>
      <c r="D7" s="561"/>
      <c r="E7" s="561"/>
      <c r="F7" s="561"/>
      <c r="G7" s="561"/>
      <c r="H7" s="561"/>
      <c r="I7" s="561"/>
      <c r="J7" s="561"/>
    </row>
    <row r="8" spans="1:10" s="2" customFormat="1" ht="15" customHeight="1" thickBot="1">
      <c r="A8" s="1"/>
      <c r="B8" s="223" t="s">
        <v>1351</v>
      </c>
      <c r="C8" s="223"/>
      <c r="D8" s="223"/>
      <c r="E8" s="223"/>
      <c r="F8" s="223"/>
      <c r="G8" s="223"/>
      <c r="H8" s="223"/>
      <c r="I8" s="223"/>
      <c r="J8" s="223"/>
    </row>
    <row r="9" spans="1:10" ht="77.099999999999994" customHeight="1" thickTop="1">
      <c r="A9" s="4" t="s">
        <v>1128</v>
      </c>
      <c r="B9" s="6" t="s">
        <v>1352</v>
      </c>
      <c r="C9" s="6" t="s">
        <v>1353</v>
      </c>
      <c r="D9" s="6" t="s">
        <v>1354</v>
      </c>
      <c r="E9" s="6" t="s">
        <v>1355</v>
      </c>
      <c r="F9" s="6" t="s">
        <v>1356</v>
      </c>
      <c r="G9" s="6" t="s">
        <v>1357</v>
      </c>
      <c r="H9" s="354" t="s">
        <v>1358</v>
      </c>
      <c r="I9" s="6" t="s">
        <v>1359</v>
      </c>
      <c r="J9" s="7" t="s">
        <v>1360</v>
      </c>
    </row>
    <row r="10" spans="1:10" ht="12.9" customHeight="1">
      <c r="A10" s="181" t="s">
        <v>1138</v>
      </c>
      <c r="B10" s="329">
        <f>SUM('III-B - #11619:Other'!C10)-'III-B Other Services'!C10-'III-E - #12519'!C10-'SCS Other Services'!C10-'Alzheimers FC Support - #12219'!C10</f>
        <v>0</v>
      </c>
      <c r="C10" s="329">
        <f>SUM('III-B - #11619:Other'!D10)-'III-B Other Services'!D10-'III-E - #12519'!D10-'SCS Other Services'!D10-'Alzheimers FC Support - #12219'!D10</f>
        <v>0</v>
      </c>
      <c r="D10" s="329">
        <f>SUM('III-B - #11619:Other'!E10)-'III-B Other Services'!E10-'III-E - #12519'!E10-'SCS Other Services'!E10-'Alzheimers FC Support - #12219'!E10</f>
        <v>0</v>
      </c>
      <c r="E10" s="329">
        <f>SUM('III-B - #11619:Other'!F10)-'III-B Other Services'!F10-'III-E - #12519'!F10-'SCS Other Services'!F10-'Alzheimers FC Support - #12219'!F10</f>
        <v>0</v>
      </c>
      <c r="F10" s="329">
        <f>SUM('III-B - #11619:Other'!G10)-'III-B Other Services'!G10-'III-E - #12519'!G10-'SCS Other Services'!G10-'Alzheimers FC Support - #12219'!G10</f>
        <v>0</v>
      </c>
      <c r="G10" s="329">
        <f>SUM('III-B - #11619:Other'!H10)-'III-B Other Services'!H10-'III-E - #12519'!H10-'SCS Other Services'!H10-'Alzheimers FC Support - #12219'!H10</f>
        <v>0</v>
      </c>
      <c r="H10" s="329">
        <f>SUM('III-B - #11619:Other'!J10)-'III-B Other Services'!J10-'III-E - #12519'!J10-'SCS Other Services'!J10</f>
        <v>0</v>
      </c>
      <c r="I10" s="329">
        <f>SUM('III-B - #11619:Other'!L10)-'III-B Other Services'!L10-'III-E - #12519'!L10-'SCS Other Services'!L10</f>
        <v>0</v>
      </c>
      <c r="J10" s="329">
        <f t="shared" ref="J10" si="0">SUM(B10:I10)</f>
        <v>0</v>
      </c>
    </row>
    <row r="11" spans="1:10" ht="12.9" customHeight="1">
      <c r="A11" s="181" t="s">
        <v>1139</v>
      </c>
      <c r="B11" s="329">
        <f>SUM('III-B - #11619:Other'!C11)-'III-B Other Services'!C11-'III-E - #12519'!C11-'SCS Other Services'!C11-'Alzheimers FC Support - #12219'!C11</f>
        <v>0</v>
      </c>
      <c r="C11" s="329">
        <f>SUM('III-B - #11619:Other'!D11)-'III-B Other Services'!D11-'III-E - #12519'!D11-'SCS Other Services'!D11-'Alzheimers FC Support - #12219'!D11</f>
        <v>0</v>
      </c>
      <c r="D11" s="329">
        <f>SUM('III-B - #11619:Other'!E11)-'III-B Other Services'!E11-'III-E - #12519'!E11-'SCS Other Services'!E11-'Alzheimers FC Support - #12219'!E11</f>
        <v>0</v>
      </c>
      <c r="E11" s="329">
        <f>SUM('III-B - #11619:Other'!F11)-'III-B Other Services'!F11-'III-E - #12519'!F11-'SCS Other Services'!F11-'Alzheimers FC Support - #12219'!F11</f>
        <v>0</v>
      </c>
      <c r="F11" s="329">
        <f>SUM('III-B - #11619:Other'!G11)-'III-B Other Services'!G11-'III-E - #12519'!G11-'SCS Other Services'!G11-'Alzheimers FC Support - #12219'!G11</f>
        <v>0</v>
      </c>
      <c r="G11" s="329">
        <f>SUM('III-B - #11619:Other'!H11)-'III-B Other Services'!H11-'III-E - #12519'!H11-'SCS Other Services'!H11-'Alzheimers FC Support - #12219'!H11</f>
        <v>0</v>
      </c>
      <c r="H11" s="329">
        <f>SUM('III-B - #11619:Other'!J11)-'III-B Other Services'!J11-'III-E - #12519'!J11-'SCS Other Services'!J11</f>
        <v>0</v>
      </c>
      <c r="I11" s="329">
        <f>SUM('III-B - #11619:Other'!L11)-'III-B Other Services'!L11-'III-E - #12519'!L11-'SCS Other Services'!L11</f>
        <v>0</v>
      </c>
      <c r="J11" s="329">
        <f t="shared" ref="J11:J30" si="1">SUM(B11:I11)</f>
        <v>0</v>
      </c>
    </row>
    <row r="12" spans="1:10" ht="12.9" customHeight="1">
      <c r="A12" s="181" t="s">
        <v>1140</v>
      </c>
      <c r="B12" s="329">
        <f>SUM('III-B - #11619:Other'!C12)-'III-B Other Services'!C12-'III-E - #12519'!C12-'SCS Other Services'!C12-'Alzheimers FC Support - #12219'!C12</f>
        <v>0</v>
      </c>
      <c r="C12" s="329">
        <f>SUM('III-B - #11619:Other'!D12)-'III-B Other Services'!D12-'III-E - #12519'!D12-'SCS Other Services'!D12-'Alzheimers FC Support - #12219'!D12</f>
        <v>0</v>
      </c>
      <c r="D12" s="329">
        <f>SUM('III-B - #11619:Other'!E12)-'III-B Other Services'!E12-'III-E - #12519'!E12-'SCS Other Services'!E12-'Alzheimers FC Support - #12219'!E12</f>
        <v>0</v>
      </c>
      <c r="E12" s="329">
        <f>SUM('III-B - #11619:Other'!F12)-'III-B Other Services'!F12-'III-E - #12519'!F12-'SCS Other Services'!F12-'Alzheimers FC Support - #12219'!F12</f>
        <v>0</v>
      </c>
      <c r="F12" s="329">
        <f>SUM('III-B - #11619:Other'!G12)-'III-B Other Services'!G12-'III-E - #12519'!G12-'SCS Other Services'!G12-'Alzheimers FC Support - #12219'!G12</f>
        <v>0</v>
      </c>
      <c r="G12" s="329">
        <f>SUM('III-B - #11619:Other'!H12)-'III-B Other Services'!H12-'III-E - #12519'!H12-'SCS Other Services'!H12-'Alzheimers FC Support - #12219'!H12</f>
        <v>0</v>
      </c>
      <c r="H12" s="329">
        <f>SUM('III-B - #11619:Other'!J12)-'III-B Other Services'!J12-'III-E - #12519'!J12-'SCS Other Services'!J12</f>
        <v>0</v>
      </c>
      <c r="I12" s="329">
        <f>SUM('III-B - #11619:Other'!L12)-'III-B Other Services'!L12-'III-E - #12519'!L12-'SCS Other Services'!L12</f>
        <v>0</v>
      </c>
      <c r="J12" s="329">
        <f t="shared" si="1"/>
        <v>0</v>
      </c>
    </row>
    <row r="13" spans="1:10" ht="12.9" customHeight="1">
      <c r="A13" s="181" t="s">
        <v>1141</v>
      </c>
      <c r="B13" s="329">
        <f>SUM('III-B - #11619:Other'!C13)-'III-B Other Services'!C13-'III-E - #12519'!C13-'SCS Other Services'!C13-'Alzheimers FC Support - #12219'!C13</f>
        <v>0</v>
      </c>
      <c r="C13" s="329">
        <f>SUM('III-B - #11619:Other'!D13)-'III-B Other Services'!D13-'III-E - #12519'!D13-'SCS Other Services'!D13-'Alzheimers FC Support - #12219'!D13</f>
        <v>0</v>
      </c>
      <c r="D13" s="329">
        <f>SUM('III-B - #11619:Other'!E13)-'III-B Other Services'!E13-'III-E - #12519'!E13-'SCS Other Services'!E13-'Alzheimers FC Support - #12219'!E13</f>
        <v>0</v>
      </c>
      <c r="E13" s="329">
        <f>SUM('III-B - #11619:Other'!F13)-'III-B Other Services'!F13-'III-E - #12519'!F13-'SCS Other Services'!F13-'Alzheimers FC Support - #12219'!F13</f>
        <v>0</v>
      </c>
      <c r="F13" s="329">
        <f>SUM('III-B - #11619:Other'!G13)-'III-B Other Services'!G13-'III-E - #12519'!G13-'SCS Other Services'!G13-'Alzheimers FC Support - #12219'!G13</f>
        <v>0</v>
      </c>
      <c r="G13" s="329">
        <f>SUM('III-B - #11619:Other'!H13)-'III-B Other Services'!H13-'III-E - #12519'!H13-'SCS Other Services'!H13-'Alzheimers FC Support - #12219'!H13</f>
        <v>0</v>
      </c>
      <c r="H13" s="329">
        <f>SUM('III-B - #11619:Other'!J13)-'III-B Other Services'!J13-'III-E - #12519'!J13-'SCS Other Services'!J13</f>
        <v>0</v>
      </c>
      <c r="I13" s="329">
        <f>SUM('III-B - #11619:Other'!L13)-'III-B Other Services'!L13-'III-E - #12519'!L13-'SCS Other Services'!L13</f>
        <v>0</v>
      </c>
      <c r="J13" s="329">
        <f t="shared" si="1"/>
        <v>0</v>
      </c>
    </row>
    <row r="14" spans="1:10" ht="12.9" customHeight="1">
      <c r="A14" s="181" t="s">
        <v>1142</v>
      </c>
      <c r="B14" s="329">
        <f>SUM('III-B - #11619:Other'!C14)-'III-B Other Services'!C14-'III-E - #12519'!C14-'SCS Other Services'!C14-'Alzheimers FC Support - #12219'!C14</f>
        <v>0</v>
      </c>
      <c r="C14" s="329">
        <f>SUM('III-B - #11619:Other'!D14)-'III-B Other Services'!D14-'III-E - #12519'!D14-'SCS Other Services'!D14-'Alzheimers FC Support - #12219'!D14</f>
        <v>0</v>
      </c>
      <c r="D14" s="329">
        <f>SUM('III-B - #11619:Other'!E14)-'III-B Other Services'!E14-'III-E - #12519'!E14-'SCS Other Services'!E14-'Alzheimers FC Support - #12219'!E14</f>
        <v>0</v>
      </c>
      <c r="E14" s="329">
        <f>SUM('III-B - #11619:Other'!F14)-'III-B Other Services'!F14-'III-E - #12519'!F14-'SCS Other Services'!F14-'Alzheimers FC Support - #12219'!F14</f>
        <v>0</v>
      </c>
      <c r="F14" s="329">
        <f>SUM('III-B - #11619:Other'!G14)-'III-B Other Services'!G14-'III-E - #12519'!G14-'SCS Other Services'!G14-'Alzheimers FC Support - #12219'!G14</f>
        <v>0</v>
      </c>
      <c r="G14" s="329">
        <f>SUM('III-B - #11619:Other'!H14)-'III-B Other Services'!H14-'III-E - #12519'!H14-'SCS Other Services'!H14-'Alzheimers FC Support - #12219'!H14</f>
        <v>0</v>
      </c>
      <c r="H14" s="329">
        <f>SUM('III-B - #11619:Other'!J14)-'III-B Other Services'!J14-'III-E - #12519'!J14-'SCS Other Services'!J14</f>
        <v>0</v>
      </c>
      <c r="I14" s="329">
        <f>SUM('III-B - #11619:Other'!L14)-'III-B Other Services'!L14-'III-E - #12519'!L14-'SCS Other Services'!L14</f>
        <v>0</v>
      </c>
      <c r="J14" s="329">
        <f t="shared" si="1"/>
        <v>0</v>
      </c>
    </row>
    <row r="15" spans="1:10" ht="12.9" customHeight="1">
      <c r="A15" s="181" t="s">
        <v>1143</v>
      </c>
      <c r="B15" s="329">
        <f>SUM('III-B - #11619:Other'!C15)-'III-B Other Services'!C15-'III-E - #12519'!C15-'SCS Other Services'!C15-'Alzheimers FC Support - #12219'!C15</f>
        <v>0</v>
      </c>
      <c r="C15" s="329">
        <f>SUM('III-B - #11619:Other'!D15)-'III-B Other Services'!D15-'III-E - #12519'!D15-'SCS Other Services'!D15-'Alzheimers FC Support - #12219'!D15</f>
        <v>0</v>
      </c>
      <c r="D15" s="329">
        <f>SUM('III-B - #11619:Other'!E15)-'III-B Other Services'!E15-'III-E - #12519'!E15-'SCS Other Services'!E15-'Alzheimers FC Support - #12219'!E15</f>
        <v>0</v>
      </c>
      <c r="E15" s="329">
        <f>SUM('III-B - #11619:Other'!F15)-'III-B Other Services'!F15-'III-E - #12519'!F15-'SCS Other Services'!F15-'Alzheimers FC Support - #12219'!F15</f>
        <v>0</v>
      </c>
      <c r="F15" s="329">
        <f>SUM('III-B - #11619:Other'!G15)-'III-B Other Services'!G15-'III-E - #12519'!G15-'SCS Other Services'!G15-'Alzheimers FC Support - #12219'!G15</f>
        <v>0</v>
      </c>
      <c r="G15" s="329">
        <f>SUM('III-B - #11619:Other'!H15)-'III-B Other Services'!H15-'III-E - #12519'!H15-'SCS Other Services'!H15-'Alzheimers FC Support - #12219'!H15</f>
        <v>0</v>
      </c>
      <c r="H15" s="329">
        <f>SUM('III-B - #11619:Other'!J15)-'III-B Other Services'!J15-'III-E - #12519'!J15-'SCS Other Services'!J15</f>
        <v>0</v>
      </c>
      <c r="I15" s="329">
        <f>SUM('III-B - #11619:Other'!L15)-'III-B Other Services'!L15-'III-E - #12519'!L15-'SCS Other Services'!L15</f>
        <v>0</v>
      </c>
      <c r="J15" s="329">
        <f t="shared" si="1"/>
        <v>0</v>
      </c>
    </row>
    <row r="16" spans="1:10" ht="12.9" customHeight="1">
      <c r="A16" s="181" t="s">
        <v>1144</v>
      </c>
      <c r="B16" s="329">
        <f>SUM('III-B - #11619:Other'!C16)-'III-B Other Services'!C16-'III-E - #12519'!C16-'SCS Other Services'!C16-'Alzheimers FC Support - #12219'!C16</f>
        <v>0</v>
      </c>
      <c r="C16" s="329">
        <f>SUM('III-B - #11619:Other'!D16)-'III-B Other Services'!D16-'III-E - #12519'!D16-'SCS Other Services'!D16-'Alzheimers FC Support - #12219'!D16</f>
        <v>0</v>
      </c>
      <c r="D16" s="329">
        <f>SUM('III-B - #11619:Other'!E16)-'III-B Other Services'!E16-'III-E - #12519'!E16-'SCS Other Services'!E16-'Alzheimers FC Support - #12219'!E16</f>
        <v>0</v>
      </c>
      <c r="E16" s="329">
        <f>SUM('III-B - #11619:Other'!F16)-'III-B Other Services'!F16-'III-E - #12519'!F16-'SCS Other Services'!F16-'Alzheimers FC Support - #12219'!F16</f>
        <v>0</v>
      </c>
      <c r="F16" s="329">
        <f>SUM('III-B - #11619:Other'!G16)-'III-B Other Services'!G16-'III-E - #12519'!G16-'SCS Other Services'!G16-'Alzheimers FC Support - #12219'!G16</f>
        <v>0</v>
      </c>
      <c r="G16" s="329">
        <f>SUM('III-B - #11619:Other'!H16)-'III-B Other Services'!H16-'III-E - #12519'!H16-'SCS Other Services'!H16-'Alzheimers FC Support - #12219'!H16</f>
        <v>0</v>
      </c>
      <c r="H16" s="329">
        <f>SUM('III-B - #11619:Other'!J16)-'III-B Other Services'!J16-'III-E - #12519'!J16-'SCS Other Services'!J16</f>
        <v>0</v>
      </c>
      <c r="I16" s="329">
        <f>SUM('III-B - #11619:Other'!L16)-'III-B Other Services'!L16-'III-E - #12519'!L16-'SCS Other Services'!L16</f>
        <v>0</v>
      </c>
      <c r="J16" s="329">
        <f t="shared" si="1"/>
        <v>0</v>
      </c>
    </row>
    <row r="17" spans="1:10" ht="12.9" customHeight="1">
      <c r="A17" s="181" t="s">
        <v>1145</v>
      </c>
      <c r="B17" s="329">
        <f>SUM('III-B - #11619:Other'!C17)-'III-B Other Services'!C17-'III-E - #12519'!C17-'SCS Other Services'!C17-'Alzheimers FC Support - #12219'!C17</f>
        <v>0</v>
      </c>
      <c r="C17" s="329">
        <f>SUM('III-B - #11619:Other'!D17)-'III-B Other Services'!D17-'III-E - #12519'!D17-'SCS Other Services'!D17-'Alzheimers FC Support - #12219'!D17</f>
        <v>0</v>
      </c>
      <c r="D17" s="329">
        <f>SUM('III-B - #11619:Other'!E17)-'III-B Other Services'!E17-'III-E - #12519'!E17-'SCS Other Services'!E17-'Alzheimers FC Support - #12219'!E17</f>
        <v>0</v>
      </c>
      <c r="E17" s="329">
        <f>SUM('III-B - #11619:Other'!F17)-'III-B Other Services'!F17-'III-E - #12519'!F17-'SCS Other Services'!F17-'Alzheimers FC Support - #12219'!F17</f>
        <v>0</v>
      </c>
      <c r="F17" s="329">
        <f>SUM('III-B - #11619:Other'!G17)-'III-B Other Services'!G17-'III-E - #12519'!G17-'SCS Other Services'!G17-'Alzheimers FC Support - #12219'!G17</f>
        <v>0</v>
      </c>
      <c r="G17" s="329">
        <f>SUM('III-B - #11619:Other'!H17)-'III-B Other Services'!H17-'III-E - #12519'!H17-'SCS Other Services'!H17-'Alzheimers FC Support - #12219'!H17</f>
        <v>0</v>
      </c>
      <c r="H17" s="329">
        <f>SUM('III-B - #11619:Other'!J17)-'III-B Other Services'!J17-'III-E - #12519'!J17-'SCS Other Services'!J17</f>
        <v>0</v>
      </c>
      <c r="I17" s="329">
        <f>SUM('III-B - #11619:Other'!L17)-'III-B Other Services'!L17-'III-E - #12519'!L17-'SCS Other Services'!L17</f>
        <v>0</v>
      </c>
      <c r="J17" s="329">
        <f t="shared" si="1"/>
        <v>0</v>
      </c>
    </row>
    <row r="18" spans="1:10" ht="12.9" customHeight="1">
      <c r="A18" s="181" t="s">
        <v>1146</v>
      </c>
      <c r="B18" s="329">
        <f>SUM('III-B - #11619:Other'!C18)-'III-B Other Services'!C18-'III-E - #12519'!C18-'SCS Other Services'!C18-'Alzheimers FC Support - #12219'!C18</f>
        <v>0</v>
      </c>
      <c r="C18" s="329">
        <f>SUM('III-B - #11619:Other'!D18)-'III-B Other Services'!D18-'III-E - #12519'!D18-'SCS Other Services'!D18-'Alzheimers FC Support - #12219'!D18</f>
        <v>0</v>
      </c>
      <c r="D18" s="329">
        <f>SUM('III-B - #11619:Other'!E18)-'III-B Other Services'!E18-'III-E - #12519'!E18-'SCS Other Services'!E18-'Alzheimers FC Support - #12219'!E18</f>
        <v>0</v>
      </c>
      <c r="E18" s="329">
        <f>SUM('III-B - #11619:Other'!F18)-'III-B Other Services'!F18-'III-E - #12519'!F18-'SCS Other Services'!F18-'Alzheimers FC Support - #12219'!F18</f>
        <v>0</v>
      </c>
      <c r="F18" s="329">
        <f>SUM('III-B - #11619:Other'!G18)-'III-B Other Services'!G18-'III-E - #12519'!G18-'SCS Other Services'!G18-'Alzheimers FC Support - #12219'!G18</f>
        <v>0</v>
      </c>
      <c r="G18" s="329">
        <f>SUM('III-B - #11619:Other'!H18)-'III-B Other Services'!H18-'III-E - #12519'!H18-'SCS Other Services'!H18-'Alzheimers FC Support - #12219'!H18</f>
        <v>0</v>
      </c>
      <c r="H18" s="329">
        <f>SUM('III-B - #11619:Other'!J18)-'III-B Other Services'!J18-'III-E - #12519'!J18-'SCS Other Services'!J18</f>
        <v>0</v>
      </c>
      <c r="I18" s="329">
        <f>SUM('III-B - #11619:Other'!L18)-'III-B Other Services'!L18-'III-E - #12519'!L18-'SCS Other Services'!L18</f>
        <v>0</v>
      </c>
      <c r="J18" s="329">
        <f t="shared" si="1"/>
        <v>0</v>
      </c>
    </row>
    <row r="19" spans="1:10" ht="12.9" customHeight="1">
      <c r="A19" s="181" t="s">
        <v>1194</v>
      </c>
      <c r="B19" s="329">
        <f>SUM('III-B - #11619:Other'!C19)-'III-B Other Services'!C19-'III-E - #12519'!C19-'SCS Other Services'!C19-'Alzheimers FC Support - #12219'!C19</f>
        <v>0</v>
      </c>
      <c r="C19" s="329">
        <f>SUM('III-B - #11619:Other'!D19)-'III-B Other Services'!D19-'III-E - #12519'!D19-'SCS Other Services'!D19-'Alzheimers FC Support - #12219'!D19</f>
        <v>0</v>
      </c>
      <c r="D19" s="329">
        <f>SUM('III-B - #11619:Other'!E19)-'III-B Other Services'!E19-'III-E - #12519'!E19-'SCS Other Services'!E19-'Alzheimers FC Support - #12219'!E19</f>
        <v>0</v>
      </c>
      <c r="E19" s="329">
        <f>SUM('III-B - #11619:Other'!F19)-'III-B Other Services'!F19-'III-E - #12519'!F19-'SCS Other Services'!F19-'Alzheimers FC Support - #12219'!F19</f>
        <v>0</v>
      </c>
      <c r="F19" s="329">
        <f>SUM('III-B - #11619:Other'!G19)-'III-B Other Services'!G19-'III-E - #12519'!G19-'SCS Other Services'!G19-'Alzheimers FC Support - #12219'!G19</f>
        <v>0</v>
      </c>
      <c r="G19" s="329">
        <f>SUM('III-B - #11619:Other'!H19)-'III-B Other Services'!H19-'III-E - #12519'!H19-'SCS Other Services'!H19-'Alzheimers FC Support - #12219'!H19</f>
        <v>0</v>
      </c>
      <c r="H19" s="329">
        <f>SUM('III-B - #11619:Other'!J19)-'III-B Other Services'!J19-'III-E - #12519'!J19-'SCS Other Services'!J19</f>
        <v>0</v>
      </c>
      <c r="I19" s="329">
        <f>SUM('III-B - #11619:Other'!L19)-'III-B Other Services'!L19-'III-E - #12519'!L19-'SCS Other Services'!L19</f>
        <v>0</v>
      </c>
      <c r="J19" s="329">
        <f t="shared" si="1"/>
        <v>0</v>
      </c>
    </row>
    <row r="20" spans="1:10" ht="12.9" customHeight="1">
      <c r="A20" s="181" t="s">
        <v>1195</v>
      </c>
      <c r="B20" s="329">
        <f>SUM('III-B - #11619:Other'!C20)-'III-B Other Services'!C20-'III-E - #12519'!C20-'SCS Other Services'!C20-'Alzheimers FC Support - #12219'!C20</f>
        <v>0</v>
      </c>
      <c r="C20" s="329">
        <f>SUM('III-B - #11619:Other'!D20)-'III-B Other Services'!D20-'III-E - #12519'!D20-'SCS Other Services'!D20-'Alzheimers FC Support - #12219'!D20</f>
        <v>0</v>
      </c>
      <c r="D20" s="329">
        <f>SUM('III-B - #11619:Other'!E20)-'III-B Other Services'!E20-'III-E - #12519'!E20-'SCS Other Services'!E20-'Alzheimers FC Support - #12219'!E20</f>
        <v>0</v>
      </c>
      <c r="E20" s="329">
        <f>SUM('III-B - #11619:Other'!F20)-'III-B Other Services'!F20-'III-E - #12519'!F20-'SCS Other Services'!F20-'Alzheimers FC Support - #12219'!F20</f>
        <v>0</v>
      </c>
      <c r="F20" s="329">
        <f>SUM('III-B - #11619:Other'!G20)-'III-B Other Services'!G20-'III-E - #12519'!G20-'SCS Other Services'!G20-'Alzheimers FC Support - #12219'!G20</f>
        <v>0</v>
      </c>
      <c r="G20" s="329">
        <f>SUM('III-B - #11619:Other'!H20)-'III-B Other Services'!H20-'III-E - #12519'!H20-'SCS Other Services'!H20-'Alzheimers FC Support - #12219'!H20</f>
        <v>0</v>
      </c>
      <c r="H20" s="329">
        <f>SUM('III-B - #11619:Other'!J20)-'III-B Other Services'!J20-'III-E - #12519'!J20-'SCS Other Services'!J20</f>
        <v>0</v>
      </c>
      <c r="I20" s="329">
        <f>SUM('III-B - #11619:Other'!L20)-'III-B Other Services'!L20-'III-E - #12519'!L20-'SCS Other Services'!L20</f>
        <v>0</v>
      </c>
      <c r="J20" s="329">
        <f t="shared" si="1"/>
        <v>0</v>
      </c>
    </row>
    <row r="21" spans="1:10" ht="12.9" customHeight="1">
      <c r="A21" s="181" t="s">
        <v>1149</v>
      </c>
      <c r="B21" s="329">
        <f>SUM('III-B - #11619:Other'!C21)-'III-B Other Services'!C21-'III-E - #12519'!C21-'SCS Other Services'!C21-'Alzheimers FC Support - #12219'!C21</f>
        <v>0</v>
      </c>
      <c r="C21" s="329">
        <f>SUM('III-B - #11619:Other'!D21)-'III-B Other Services'!D21-'III-E - #12519'!D21-'SCS Other Services'!D21-'Alzheimers FC Support - #12219'!D21</f>
        <v>0</v>
      </c>
      <c r="D21" s="329">
        <f>SUM('III-B - #11619:Other'!E21)-'III-B Other Services'!E21-'III-E - #12519'!E21-'SCS Other Services'!E21-'Alzheimers FC Support - #12219'!E21</f>
        <v>0</v>
      </c>
      <c r="E21" s="329">
        <f>SUM('III-B - #11619:Other'!F21)-'III-B Other Services'!F21-'III-E - #12519'!F21-'SCS Other Services'!F21-'Alzheimers FC Support - #12219'!F21</f>
        <v>0</v>
      </c>
      <c r="F21" s="329">
        <f>SUM('III-B - #11619:Other'!G21)-'III-B Other Services'!G21-'III-E - #12519'!G21-'SCS Other Services'!G21-'Alzheimers FC Support - #12219'!G21</f>
        <v>0</v>
      </c>
      <c r="G21" s="329">
        <f>SUM('III-B - #11619:Other'!H21)-'III-B Other Services'!H21-'III-E - #12519'!H21-'SCS Other Services'!H21-'Alzheimers FC Support - #12219'!H21</f>
        <v>0</v>
      </c>
      <c r="H21" s="329">
        <f>SUM('III-B - #11619:Other'!J21)-'III-B Other Services'!J21-'III-E - #12519'!J21-'SCS Other Services'!J21</f>
        <v>0</v>
      </c>
      <c r="I21" s="329">
        <f>SUM('III-B - #11619:Other'!L21)-'III-B Other Services'!L21-'III-E - #12519'!L21-'SCS Other Services'!L21</f>
        <v>0</v>
      </c>
      <c r="J21" s="329">
        <f t="shared" si="1"/>
        <v>0</v>
      </c>
    </row>
    <row r="22" spans="1:10" ht="12.9" customHeight="1">
      <c r="A22" s="181" t="s">
        <v>1150</v>
      </c>
      <c r="B22" s="329">
        <f>SUM('III-B - #11619:Other'!C22)-'III-B Other Services'!C22-'III-E - #12519'!C22-'SCS Other Services'!C22-'Alzheimers FC Support - #12219'!C22</f>
        <v>0</v>
      </c>
      <c r="C22" s="329">
        <f>SUM('III-B - #11619:Other'!D22)-'III-B Other Services'!D22-'III-E - #12519'!D22-'SCS Other Services'!D22-'Alzheimers FC Support - #12219'!D22</f>
        <v>0</v>
      </c>
      <c r="D22" s="329">
        <f>SUM('III-B - #11619:Other'!E22)-'III-B Other Services'!E22-'III-E - #12519'!E22-'SCS Other Services'!E22-'Alzheimers FC Support - #12219'!E22</f>
        <v>0</v>
      </c>
      <c r="E22" s="329">
        <f>SUM('III-B - #11619:Other'!F22)-'III-B Other Services'!F22-'III-E - #12519'!F22-'SCS Other Services'!F22-'Alzheimers FC Support - #12219'!F22</f>
        <v>0</v>
      </c>
      <c r="F22" s="329">
        <f>SUM('III-B - #11619:Other'!G22)-'III-B Other Services'!G22-'III-E - #12519'!G22-'SCS Other Services'!G22-'Alzheimers FC Support - #12219'!G22</f>
        <v>0</v>
      </c>
      <c r="G22" s="329">
        <f>SUM('III-B - #11619:Other'!H22)-'III-B Other Services'!H22-'III-E - #12519'!H22-'SCS Other Services'!H22-'Alzheimers FC Support - #12219'!H22</f>
        <v>0</v>
      </c>
      <c r="H22" s="329">
        <f>SUM('III-B - #11619:Other'!J22)-'III-B Other Services'!J22-'III-E - #12519'!J22-'SCS Other Services'!J22</f>
        <v>0</v>
      </c>
      <c r="I22" s="329">
        <f>SUM('III-B - #11619:Other'!L22)-'III-B Other Services'!L22-'III-E - #12519'!L22-'SCS Other Services'!L22</f>
        <v>0</v>
      </c>
      <c r="J22" s="329">
        <f t="shared" si="1"/>
        <v>0</v>
      </c>
    </row>
    <row r="23" spans="1:10" ht="12.9" customHeight="1">
      <c r="A23" s="181" t="s">
        <v>1151</v>
      </c>
      <c r="B23" s="329">
        <f>SUM('III-B - #11619:Other'!C23)-'III-B Other Services'!C23-'III-E - #12519'!C23-'SCS Other Services'!C23-'Alzheimers FC Support - #12219'!C23</f>
        <v>0</v>
      </c>
      <c r="C23" s="329">
        <f>SUM('III-B - #11619:Other'!D23)-'III-B Other Services'!D23-'III-E - #12519'!D23-'SCS Other Services'!D23-'Alzheimers FC Support - #12219'!D23</f>
        <v>0</v>
      </c>
      <c r="D23" s="329">
        <f>SUM('III-B - #11619:Other'!E23)-'III-B Other Services'!E23-'III-E - #12519'!E23-'SCS Other Services'!E23-'Alzheimers FC Support - #12219'!E23</f>
        <v>0</v>
      </c>
      <c r="E23" s="329">
        <f>SUM('III-B - #11619:Other'!F23)-'III-B Other Services'!F23-'III-E - #12519'!F23-'SCS Other Services'!F23-'Alzheimers FC Support - #12219'!F23</f>
        <v>0</v>
      </c>
      <c r="F23" s="329">
        <f>SUM('III-B - #11619:Other'!G23)-'III-B Other Services'!G23-'III-E - #12519'!G23-'SCS Other Services'!G23-'Alzheimers FC Support - #12219'!G23</f>
        <v>0</v>
      </c>
      <c r="G23" s="329">
        <f>SUM('III-B - #11619:Other'!H23)-'III-B Other Services'!H23-'III-E - #12519'!H23-'SCS Other Services'!H23-'Alzheimers FC Support - #12219'!H23</f>
        <v>0</v>
      </c>
      <c r="H23" s="329">
        <f>SUM('III-B - #11619:Other'!J23)-'III-B Other Services'!J23-'III-E - #12519'!J23-'SCS Other Services'!J23</f>
        <v>0</v>
      </c>
      <c r="I23" s="329">
        <f>SUM('III-B - #11619:Other'!L23)-'III-B Other Services'!L23-'III-E - #12519'!L23-'SCS Other Services'!L23</f>
        <v>0</v>
      </c>
      <c r="J23" s="329">
        <f t="shared" si="1"/>
        <v>0</v>
      </c>
    </row>
    <row r="24" spans="1:10" ht="12.9" customHeight="1">
      <c r="A24" s="181" t="s">
        <v>1152</v>
      </c>
      <c r="B24" s="329">
        <f>SUM('III-B - #11619:Other'!C24)-'III-B Other Services'!C24-'III-E - #12519'!C24-'SCS Other Services'!C24-'Alzheimers FC Support - #12219'!C24</f>
        <v>0</v>
      </c>
      <c r="C24" s="329">
        <f>SUM('III-B - #11619:Other'!D24)-'III-B Other Services'!D24-'III-E - #12519'!D24-'SCS Other Services'!D24-'Alzheimers FC Support - #12219'!D24</f>
        <v>0</v>
      </c>
      <c r="D24" s="329">
        <f>SUM('III-B - #11619:Other'!E24)-'III-B Other Services'!E24-'III-E - #12519'!E24-'SCS Other Services'!E24-'Alzheimers FC Support - #12219'!E24</f>
        <v>0</v>
      </c>
      <c r="E24" s="329">
        <f>SUM('III-B - #11619:Other'!F24)-'III-B Other Services'!F24-'III-E - #12519'!F24-'SCS Other Services'!F24-'Alzheimers FC Support - #12219'!F24</f>
        <v>0</v>
      </c>
      <c r="F24" s="329">
        <f>SUM('III-B - #11619:Other'!G24)-'III-B Other Services'!G24-'III-E - #12519'!G24-'SCS Other Services'!G24-'Alzheimers FC Support - #12219'!G24</f>
        <v>0</v>
      </c>
      <c r="G24" s="329">
        <f>SUM('III-B - #11619:Other'!H24)-'III-B Other Services'!H24-'III-E - #12519'!H24-'SCS Other Services'!H24-'Alzheimers FC Support - #12219'!H24</f>
        <v>0</v>
      </c>
      <c r="H24" s="329">
        <f>SUM('III-B - #11619:Other'!J24)-'III-B Other Services'!J24-'III-E - #12519'!J24-'SCS Other Services'!J24</f>
        <v>0</v>
      </c>
      <c r="I24" s="329">
        <f>SUM('III-B - #11619:Other'!L24)-'III-B Other Services'!L24-'III-E - #12519'!L24-'SCS Other Services'!L24</f>
        <v>0</v>
      </c>
      <c r="J24" s="329">
        <f t="shared" si="1"/>
        <v>0</v>
      </c>
    </row>
    <row r="25" spans="1:10" ht="12.9" customHeight="1">
      <c r="A25" s="198" t="s">
        <v>1153</v>
      </c>
      <c r="B25" s="329">
        <f>SUM('III-B - #11619:Other'!C25)-'III-B Other Services'!C25-'III-E - #12519'!C25-'SCS Other Services'!C25-'Alzheimers FC Support - #12219'!C25</f>
        <v>0</v>
      </c>
      <c r="C25" s="329">
        <f>SUM('III-B - #11619:Other'!D25)-'III-B Other Services'!D25-'III-E - #12519'!D25-'SCS Other Services'!D25-'Alzheimers FC Support - #12219'!D25</f>
        <v>0</v>
      </c>
      <c r="D25" s="329">
        <f>SUM('III-B - #11619:Other'!E25)-'III-B Other Services'!E25-'III-E - #12519'!E25-'SCS Other Services'!E25-'Alzheimers FC Support - #12219'!E25</f>
        <v>0</v>
      </c>
      <c r="E25" s="329">
        <f>SUM('III-B - #11619:Other'!F25)-'III-B Other Services'!F25-'III-E - #12519'!F25-'SCS Other Services'!F25-'Alzheimers FC Support - #12219'!F25</f>
        <v>0</v>
      </c>
      <c r="F25" s="329">
        <f>SUM('III-B - #11619:Other'!G25)-'III-B Other Services'!G25-'III-E - #12519'!G25-'SCS Other Services'!G25-'Alzheimers FC Support - #12219'!G25</f>
        <v>0</v>
      </c>
      <c r="G25" s="329">
        <f>SUM('III-B - #11619:Other'!H25)-'III-B Other Services'!H25-'III-E - #12519'!H25-'SCS Other Services'!H25-'Alzheimers FC Support - #12219'!H25</f>
        <v>0</v>
      </c>
      <c r="H25" s="329">
        <f>SUM('III-B - #11619:Other'!J25)-'III-B Other Services'!J25-'III-E - #12519'!J25-'SCS Other Services'!J25</f>
        <v>0</v>
      </c>
      <c r="I25" s="329">
        <f>SUM('III-B - #11619:Other'!L25)-'III-B Other Services'!L25-'III-E - #12519'!L25-'SCS Other Services'!L25</f>
        <v>0</v>
      </c>
      <c r="J25" s="329">
        <f t="shared" si="1"/>
        <v>0</v>
      </c>
    </row>
    <row r="26" spans="1:10" ht="12.9" customHeight="1">
      <c r="A26" s="199" t="s">
        <v>1154</v>
      </c>
      <c r="B26" s="329">
        <f>SUM('III-B - #11619:Other'!C26)-'III-B Other Services'!C26-'III-E - #12519'!C26-'SCS Other Services'!C26-'Alzheimers FC Support - #12219'!C26</f>
        <v>0</v>
      </c>
      <c r="C26" s="329">
        <f>SUM('III-B - #11619:Other'!D26)-'III-B Other Services'!D26-'III-E - #12519'!D26-'SCS Other Services'!D26-'Alzheimers FC Support - #12219'!D26</f>
        <v>0</v>
      </c>
      <c r="D26" s="329">
        <f>SUM('III-B - #11619:Other'!E26)-'III-B Other Services'!E26-'III-E - #12519'!E26-'SCS Other Services'!E26-'Alzheimers FC Support - #12219'!E26</f>
        <v>0</v>
      </c>
      <c r="E26" s="329">
        <f>SUM('III-B - #11619:Other'!F26)-'III-B Other Services'!F26-'III-E - #12519'!F26-'SCS Other Services'!F26-'Alzheimers FC Support - #12219'!F26</f>
        <v>0</v>
      </c>
      <c r="F26" s="329">
        <f>SUM('III-B - #11619:Other'!G26)-'III-B Other Services'!G26-'III-E - #12519'!G26-'SCS Other Services'!G26-'Alzheimers FC Support - #12219'!G26</f>
        <v>0</v>
      </c>
      <c r="G26" s="329">
        <f>SUM('III-B - #11619:Other'!H26)-'III-B Other Services'!H26-'III-E - #12519'!H26-'SCS Other Services'!H26-'Alzheimers FC Support - #12219'!H26</f>
        <v>0</v>
      </c>
      <c r="H26" s="329">
        <f>SUM('III-B - #11619:Other'!J26)-'III-B Other Services'!J26-'III-E - #12519'!J26-'SCS Other Services'!J26</f>
        <v>0</v>
      </c>
      <c r="I26" s="329">
        <f>SUM('III-B - #11619:Other'!L26)-'III-B Other Services'!L26-'III-E - #12519'!L26-'SCS Other Services'!L26</f>
        <v>0</v>
      </c>
      <c r="J26" s="329">
        <f t="shared" si="1"/>
        <v>0</v>
      </c>
    </row>
    <row r="27" spans="1:10" ht="12.9" customHeight="1">
      <c r="A27" s="5"/>
      <c r="B27" s="329"/>
      <c r="C27" s="329"/>
      <c r="D27" s="329"/>
      <c r="E27" s="329"/>
      <c r="F27" s="329"/>
      <c r="G27" s="329"/>
      <c r="H27" s="329"/>
      <c r="I27" s="329"/>
      <c r="J27" s="329">
        <f t="shared" si="1"/>
        <v>0</v>
      </c>
    </row>
    <row r="28" spans="1:10" ht="12.9" customHeight="1">
      <c r="A28" s="133" t="s">
        <v>192</v>
      </c>
      <c r="B28" s="329">
        <f>'Alzheimers FC Support - #12219'!C35</f>
        <v>0</v>
      </c>
      <c r="C28" s="329">
        <f>'Alzheimers FC Support - #12219'!D35</f>
        <v>0</v>
      </c>
      <c r="D28" s="329">
        <f>'Alzheimers FC Support - #12219'!E35</f>
        <v>0</v>
      </c>
      <c r="E28" s="329">
        <f>'Alzheimers FC Support - #12219'!F35</f>
        <v>0</v>
      </c>
      <c r="F28" s="329">
        <f>'Alzheimers FC Support - #12219'!G35</f>
        <v>0</v>
      </c>
      <c r="G28" s="329">
        <f>'Alzheimers FC Support - #12219'!H35</f>
        <v>0</v>
      </c>
      <c r="H28" s="329">
        <f>'Alzheimers FC Support - #12219'!J35</f>
        <v>0</v>
      </c>
      <c r="I28" s="329">
        <f>'Alzheimers FC Support - #12219'!L35</f>
        <v>0</v>
      </c>
      <c r="J28" s="329">
        <f>SUM(B28:I28)</f>
        <v>0</v>
      </c>
    </row>
    <row r="29" spans="1:10" ht="12.9" customHeight="1">
      <c r="A29" s="133"/>
      <c r="B29" s="329"/>
      <c r="C29" s="329"/>
      <c r="D29" s="329"/>
      <c r="E29" s="329"/>
      <c r="F29" s="329"/>
      <c r="G29" s="329"/>
      <c r="H29" s="329"/>
      <c r="I29" s="329"/>
      <c r="J29" s="329">
        <f t="shared" si="1"/>
        <v>0</v>
      </c>
    </row>
    <row r="30" spans="1:10" ht="12.9" customHeight="1">
      <c r="A30" s="133" t="s">
        <v>1315</v>
      </c>
      <c r="B30" s="329">
        <f>'Elder Abuse - #12319'!C35</f>
        <v>0</v>
      </c>
      <c r="C30" s="329">
        <f>'Elder Abuse - #12319'!D35</f>
        <v>0</v>
      </c>
      <c r="D30" s="329">
        <f>'Elder Abuse - #12319'!E35</f>
        <v>0</v>
      </c>
      <c r="E30" s="329">
        <f>'Elder Abuse - #12319'!F35</f>
        <v>0</v>
      </c>
      <c r="F30" s="329">
        <f>'Elder Abuse - #12319'!G35</f>
        <v>0</v>
      </c>
      <c r="G30" s="329">
        <f>'Elder Abuse - #12319'!H35</f>
        <v>0</v>
      </c>
      <c r="H30" s="329">
        <f>'Elder Abuse - #12319'!J35</f>
        <v>0</v>
      </c>
      <c r="I30" s="329">
        <f>'Elder Abuse - #12319'!L35</f>
        <v>0</v>
      </c>
      <c r="J30" s="329">
        <f t="shared" si="1"/>
        <v>0</v>
      </c>
    </row>
    <row r="31" spans="1:10" ht="12.9" customHeight="1">
      <c r="A31" s="133"/>
      <c r="B31" s="329"/>
      <c r="C31" s="329"/>
      <c r="D31" s="329"/>
      <c r="E31" s="329"/>
      <c r="F31" s="329"/>
      <c r="G31" s="329"/>
      <c r="H31" s="329"/>
      <c r="I31" s="329"/>
      <c r="J31" s="329"/>
    </row>
    <row r="32" spans="1:10" ht="12.9" customHeight="1">
      <c r="A32" s="133"/>
      <c r="B32" s="329"/>
      <c r="C32" s="329"/>
      <c r="D32" s="329"/>
      <c r="E32" s="329"/>
      <c r="F32" s="329"/>
      <c r="G32" s="329"/>
      <c r="H32" s="329"/>
      <c r="I32" s="329"/>
      <c r="J32" s="329"/>
    </row>
    <row r="33" spans="1:10" ht="12.9" customHeight="1">
      <c r="A33" s="133"/>
      <c r="B33" s="329"/>
      <c r="C33" s="329"/>
      <c r="D33" s="329"/>
      <c r="E33" s="329"/>
      <c r="F33" s="329"/>
      <c r="G33" s="329"/>
      <c r="H33" s="329"/>
      <c r="I33" s="329"/>
      <c r="J33" s="329"/>
    </row>
    <row r="34" spans="1:10" ht="12.9" customHeight="1">
      <c r="A34" s="133"/>
      <c r="B34" s="334"/>
      <c r="C34" s="334"/>
      <c r="D34" s="334"/>
      <c r="E34" s="334"/>
      <c r="F34" s="334"/>
      <c r="G34" s="334"/>
      <c r="H34" s="334"/>
      <c r="I34" s="334"/>
      <c r="J34" s="329"/>
    </row>
    <row r="35" spans="1:10" ht="12.9" customHeight="1">
      <c r="A35" s="355" t="s">
        <v>1361</v>
      </c>
      <c r="B35" s="334"/>
      <c r="C35" s="334"/>
      <c r="D35" s="334"/>
      <c r="E35" s="334"/>
      <c r="F35" s="334"/>
      <c r="G35" s="334"/>
      <c r="H35" s="334"/>
      <c r="I35" s="334"/>
      <c r="J35" s="329"/>
    </row>
    <row r="36" spans="1:10" ht="12.9" customHeight="1">
      <c r="A36" s="181" t="s">
        <v>1362</v>
      </c>
      <c r="B36" s="329">
        <f>'III-E - #12519'!C11+'III-E - #12519'!C25</f>
        <v>0</v>
      </c>
      <c r="C36" s="329">
        <f>'III-E - #12519'!D11+'III-E - #12519'!D25</f>
        <v>0</v>
      </c>
      <c r="D36" s="329">
        <f>'III-E - #12519'!E11+'III-E - #12519'!E25</f>
        <v>0</v>
      </c>
      <c r="E36" s="329">
        <f>'III-E - #12519'!F11+'III-E - #12519'!F25</f>
        <v>0</v>
      </c>
      <c r="F36" s="329">
        <f>'III-E - #12519'!G11+'III-E - #12519'!G25</f>
        <v>0</v>
      </c>
      <c r="G36" s="329">
        <f>'III-E - #12519'!H11+'III-E - #12519'!H25</f>
        <v>0</v>
      </c>
      <c r="H36" s="329">
        <f>'III-E - #12519'!J11+'III-E - #12519'!J25</f>
        <v>0</v>
      </c>
      <c r="I36" s="329">
        <f>'III-E - #12519'!L11+'III-E - #12519'!L25</f>
        <v>0</v>
      </c>
      <c r="J36" s="329">
        <f t="shared" ref="J36:J47" si="2">SUM(B36:I36)</f>
        <v>0</v>
      </c>
    </row>
    <row r="37" spans="1:10" ht="12.9" customHeight="1">
      <c r="A37" s="181" t="s">
        <v>1363</v>
      </c>
      <c r="B37" s="329">
        <f>'III-E - #12519'!C12+'III-E - #12519'!C26</f>
        <v>0</v>
      </c>
      <c r="C37" s="329">
        <f>'III-E - #12519'!D12+'III-E - #12519'!D26</f>
        <v>0</v>
      </c>
      <c r="D37" s="329">
        <f>'III-E - #12519'!E12+'III-E - #12519'!E26</f>
        <v>0</v>
      </c>
      <c r="E37" s="329">
        <f>'III-E - #12519'!F12+'III-E - #12519'!F26</f>
        <v>0</v>
      </c>
      <c r="F37" s="329">
        <f>'III-E - #12519'!G12+'III-E - #12519'!G26</f>
        <v>0</v>
      </c>
      <c r="G37" s="329">
        <f>'III-E - #12519'!H12+'III-E - #12519'!H26</f>
        <v>0</v>
      </c>
      <c r="H37" s="329">
        <f>'III-E - #12519'!J12+'III-E - #12519'!J26</f>
        <v>0</v>
      </c>
      <c r="I37" s="329">
        <f>'III-E - #12519'!L12+'III-E - #12519'!L26</f>
        <v>0</v>
      </c>
      <c r="J37" s="329">
        <f t="shared" si="2"/>
        <v>0</v>
      </c>
    </row>
    <row r="38" spans="1:10" ht="12.9" customHeight="1">
      <c r="A38" s="181" t="s">
        <v>1364</v>
      </c>
      <c r="B38" s="329">
        <f>'III-E - #12519'!C13+'III-E - #12519'!C27</f>
        <v>0</v>
      </c>
      <c r="C38" s="329">
        <f>'III-E - #12519'!D13+'III-E - #12519'!D27</f>
        <v>0</v>
      </c>
      <c r="D38" s="329">
        <f>'III-E - #12519'!E13+'III-E - #12519'!E27</f>
        <v>0</v>
      </c>
      <c r="E38" s="329">
        <f>'III-E - #12519'!F13+'III-E - #12519'!F27</f>
        <v>0</v>
      </c>
      <c r="F38" s="329">
        <f>'III-E - #12519'!G13+'III-E - #12519'!G27</f>
        <v>0</v>
      </c>
      <c r="G38" s="329">
        <f>'III-E - #12519'!H13+'III-E - #12519'!H27</f>
        <v>0</v>
      </c>
      <c r="H38" s="329">
        <f>'III-E - #12519'!J13+'III-E - #12519'!J27</f>
        <v>0</v>
      </c>
      <c r="I38" s="329">
        <f>'III-E - #12519'!L13+'III-E - #12519'!L27</f>
        <v>0</v>
      </c>
      <c r="J38" s="329">
        <f t="shared" si="2"/>
        <v>0</v>
      </c>
    </row>
    <row r="39" spans="1:10" ht="12.9" customHeight="1">
      <c r="A39" s="181" t="s">
        <v>1365</v>
      </c>
      <c r="B39" s="329">
        <f>'III-E - #12519'!C14+'III-E - #12519'!C28</f>
        <v>0</v>
      </c>
      <c r="C39" s="329">
        <f>'III-E - #12519'!D14+'III-E - #12519'!D28</f>
        <v>0</v>
      </c>
      <c r="D39" s="329">
        <f>'III-E - #12519'!E14+'III-E - #12519'!E28</f>
        <v>0</v>
      </c>
      <c r="E39" s="329">
        <f>'III-E - #12519'!F14+'III-E - #12519'!F28</f>
        <v>0</v>
      </c>
      <c r="F39" s="329">
        <f>'III-E - #12519'!G14+'III-E - #12519'!G28</f>
        <v>0</v>
      </c>
      <c r="G39" s="329">
        <f>'III-E - #12519'!H14+'III-E - #12519'!H28</f>
        <v>0</v>
      </c>
      <c r="H39" s="329">
        <f>'III-E - #12519'!J14+'III-E - #12519'!J28</f>
        <v>0</v>
      </c>
      <c r="I39" s="329">
        <f>'III-E - #12519'!L14+'III-E - #12519'!L28</f>
        <v>0</v>
      </c>
      <c r="J39" s="329">
        <f t="shared" si="2"/>
        <v>0</v>
      </c>
    </row>
    <row r="40" spans="1:10" ht="12.9" customHeight="1">
      <c r="A40" s="209" t="s">
        <v>1366</v>
      </c>
      <c r="B40" s="329">
        <f>'III-E - #12519'!C15+'III-E - #12519'!C29</f>
        <v>0</v>
      </c>
      <c r="C40" s="329">
        <f>'III-E - #12519'!D15+'III-E - #12519'!D29</f>
        <v>0</v>
      </c>
      <c r="D40" s="329">
        <f>'III-E - #12519'!E15+'III-E - #12519'!E29</f>
        <v>0</v>
      </c>
      <c r="E40" s="329">
        <f>'III-E - #12519'!F15+'III-E - #12519'!F29</f>
        <v>0</v>
      </c>
      <c r="F40" s="329">
        <f>'III-E - #12519'!G15+'III-E - #12519'!G29</f>
        <v>0</v>
      </c>
      <c r="G40" s="329">
        <f>'III-E - #12519'!H15+'III-E - #12519'!H29</f>
        <v>0</v>
      </c>
      <c r="H40" s="329">
        <f>'III-E - #12519'!J15+'III-E - #12519'!J29</f>
        <v>0</v>
      </c>
      <c r="I40" s="329">
        <f>'III-E - #12519'!L15+'III-E - #12519'!L29</f>
        <v>0</v>
      </c>
      <c r="J40" s="329">
        <f t="shared" si="2"/>
        <v>0</v>
      </c>
    </row>
    <row r="41" spans="1:10" ht="12.9" customHeight="1">
      <c r="A41" s="181" t="s">
        <v>1367</v>
      </c>
      <c r="B41" s="329">
        <f>'III-E - #12519'!C16+'III-E - #12519'!C30</f>
        <v>0</v>
      </c>
      <c r="C41" s="329">
        <f>'III-E - #12519'!D16+'III-E - #12519'!D30</f>
        <v>0</v>
      </c>
      <c r="D41" s="329">
        <f>'III-E - #12519'!E16+'III-E - #12519'!E30</f>
        <v>0</v>
      </c>
      <c r="E41" s="329">
        <f>'III-E - #12519'!F16+'III-E - #12519'!F30</f>
        <v>0</v>
      </c>
      <c r="F41" s="329">
        <f>'III-E - #12519'!G16+'III-E - #12519'!G30</f>
        <v>0</v>
      </c>
      <c r="G41" s="329">
        <f>'III-E - #12519'!H16+'III-E - #12519'!H30</f>
        <v>0</v>
      </c>
      <c r="H41" s="329">
        <f>'III-E - #12519'!J16+'III-E - #12519'!J30</f>
        <v>0</v>
      </c>
      <c r="I41" s="329">
        <f>'III-E - #12519'!L16+'III-E - #12519'!L30</f>
        <v>0</v>
      </c>
      <c r="J41" s="329">
        <f t="shared" si="2"/>
        <v>0</v>
      </c>
    </row>
    <row r="42" spans="1:10" ht="12.9" customHeight="1">
      <c r="A42" s="181" t="s">
        <v>1368</v>
      </c>
      <c r="B42" s="329">
        <f>'III-E - #12519'!C17+'III-E - #12519'!C31</f>
        <v>0</v>
      </c>
      <c r="C42" s="329">
        <f>'III-E - #12519'!D17+'III-E - #12519'!D31</f>
        <v>0</v>
      </c>
      <c r="D42" s="329">
        <f>'III-E - #12519'!E17+'III-E - #12519'!E31</f>
        <v>0</v>
      </c>
      <c r="E42" s="329">
        <f>'III-E - #12519'!F17+'III-E - #12519'!F31</f>
        <v>0</v>
      </c>
      <c r="F42" s="329">
        <f>'III-E - #12519'!G17+'III-E - #12519'!G31</f>
        <v>0</v>
      </c>
      <c r="G42" s="329">
        <f>'III-E - #12519'!H17+'III-E - #12519'!H31</f>
        <v>0</v>
      </c>
      <c r="H42" s="329">
        <f>'III-E - #12519'!J17+'III-E - #12519'!J31</f>
        <v>0</v>
      </c>
      <c r="I42" s="329">
        <f>'III-E - #12519'!L17+'III-E - #12519'!L31</f>
        <v>0</v>
      </c>
      <c r="J42" s="329">
        <f t="shared" si="2"/>
        <v>0</v>
      </c>
    </row>
    <row r="43" spans="1:10" ht="12.9" customHeight="1">
      <c r="A43" s="181" t="s">
        <v>1369</v>
      </c>
      <c r="B43" s="329">
        <f>'III-E - #12519'!C18+'III-E - #12519'!C32</f>
        <v>0</v>
      </c>
      <c r="C43" s="329">
        <f>'III-E - #12519'!D18+'III-E - #12519'!D32</f>
        <v>0</v>
      </c>
      <c r="D43" s="329">
        <f>'III-E - #12519'!E18+'III-E - #12519'!E32</f>
        <v>0</v>
      </c>
      <c r="E43" s="329">
        <f>'III-E - #12519'!F18+'III-E - #12519'!F32</f>
        <v>0</v>
      </c>
      <c r="F43" s="329">
        <f>'III-E - #12519'!G18+'III-E - #12519'!G32</f>
        <v>0</v>
      </c>
      <c r="G43" s="329">
        <f>'III-E - #12519'!H18+'III-E - #12519'!H32</f>
        <v>0</v>
      </c>
      <c r="H43" s="329">
        <f>'III-E - #12519'!J18+'III-E - #12519'!J32</f>
        <v>0</v>
      </c>
      <c r="I43" s="329">
        <f>'III-E - #12519'!L18+'III-E - #12519'!L32</f>
        <v>0</v>
      </c>
      <c r="J43" s="329">
        <f t="shared" si="2"/>
        <v>0</v>
      </c>
    </row>
    <row r="44" spans="1:10" ht="12.9" customHeight="1">
      <c r="A44" s="181" t="s">
        <v>1370</v>
      </c>
      <c r="B44" s="329">
        <f>'III-E - #12519'!C19+'III-E - #12519'!C33</f>
        <v>0</v>
      </c>
      <c r="C44" s="329">
        <f>'III-E - #12519'!D19+'III-E - #12519'!D33</f>
        <v>0</v>
      </c>
      <c r="D44" s="329">
        <f>'III-E - #12519'!E19+'III-E - #12519'!E33</f>
        <v>0</v>
      </c>
      <c r="E44" s="329">
        <f>'III-E - #12519'!F19+'III-E - #12519'!F33</f>
        <v>0</v>
      </c>
      <c r="F44" s="329">
        <f>'III-E - #12519'!G19+'III-E - #12519'!G33</f>
        <v>0</v>
      </c>
      <c r="G44" s="329">
        <f>'III-E - #12519'!H19+'III-E - #12519'!H33</f>
        <v>0</v>
      </c>
      <c r="H44" s="329">
        <f>'III-E - #12519'!J19+'III-E - #12519'!J33</f>
        <v>0</v>
      </c>
      <c r="I44" s="329">
        <f>'III-E - #12519'!L19+'III-E - #12519'!L33</f>
        <v>0</v>
      </c>
      <c r="J44" s="329">
        <f t="shared" si="2"/>
        <v>0</v>
      </c>
    </row>
    <row r="45" spans="1:10" ht="12.9" customHeight="1">
      <c r="A45" s="181" t="s">
        <v>1371</v>
      </c>
      <c r="B45" s="329">
        <f>'III-E - #12519'!C20+'III-E - #12519'!C34</f>
        <v>0</v>
      </c>
      <c r="C45" s="329">
        <f>'III-E - #12519'!D20+'III-E - #12519'!D34</f>
        <v>0</v>
      </c>
      <c r="D45" s="329">
        <f>'III-E - #12519'!E20+'III-E - #12519'!E34</f>
        <v>0</v>
      </c>
      <c r="E45" s="329">
        <f>'III-E - #12519'!F20+'III-E - #12519'!F34</f>
        <v>0</v>
      </c>
      <c r="F45" s="329">
        <f>'III-E - #12519'!G20+'III-E - #12519'!G34</f>
        <v>0</v>
      </c>
      <c r="G45" s="329">
        <f>'III-E - #12519'!H20+'III-E - #12519'!H34</f>
        <v>0</v>
      </c>
      <c r="H45" s="329">
        <f>'III-E - #12519'!J20+'III-E - #12519'!J34</f>
        <v>0</v>
      </c>
      <c r="I45" s="329">
        <f>'III-E - #12519'!L20+'III-E - #12519'!L34</f>
        <v>0</v>
      </c>
      <c r="J45" s="329">
        <f t="shared" si="2"/>
        <v>0</v>
      </c>
    </row>
    <row r="46" spans="1:10" ht="12.9" customHeight="1">
      <c r="A46" s="139"/>
      <c r="B46" s="329"/>
      <c r="C46" s="329"/>
      <c r="D46" s="329"/>
      <c r="E46" s="334"/>
      <c r="F46" s="334"/>
      <c r="G46" s="334"/>
      <c r="H46" s="334"/>
      <c r="I46" s="334"/>
      <c r="J46" s="329"/>
    </row>
    <row r="47" spans="1:10" ht="12.9" customHeight="1">
      <c r="A47" s="139" t="s">
        <v>1372</v>
      </c>
      <c r="B47" s="329"/>
      <c r="C47" s="329">
        <f>-'Alzheimers FC Support - #122182'!C38</f>
        <v>0</v>
      </c>
      <c r="D47" s="329"/>
      <c r="E47" s="334"/>
      <c r="F47" s="334"/>
      <c r="G47" s="334"/>
      <c r="H47" s="334"/>
      <c r="I47" s="334"/>
      <c r="J47" s="329">
        <f t="shared" si="2"/>
        <v>0</v>
      </c>
    </row>
    <row r="48" spans="1:10" ht="12.9" customHeight="1" thickBot="1">
      <c r="A48" s="14"/>
      <c r="B48" s="335"/>
      <c r="C48" s="335"/>
      <c r="D48" s="335"/>
      <c r="E48" s="336"/>
      <c r="F48" s="336"/>
      <c r="G48" s="336"/>
      <c r="H48" s="336"/>
      <c r="I48" s="336"/>
      <c r="J48" s="337"/>
    </row>
    <row r="49" spans="1:10" ht="12.9" customHeight="1" thickBot="1">
      <c r="A49" s="9" t="s">
        <v>210</v>
      </c>
      <c r="B49" s="338">
        <f>SUM(B10:B48)</f>
        <v>0</v>
      </c>
      <c r="C49" s="338">
        <f t="shared" ref="C49:J49" si="3">SUM(C10:C48)</f>
        <v>0</v>
      </c>
      <c r="D49" s="338">
        <f t="shared" si="3"/>
        <v>0</v>
      </c>
      <c r="E49" s="338">
        <f t="shared" si="3"/>
        <v>0</v>
      </c>
      <c r="F49" s="338">
        <f t="shared" si="3"/>
        <v>0</v>
      </c>
      <c r="G49" s="338">
        <f t="shared" si="3"/>
        <v>0</v>
      </c>
      <c r="H49" s="338">
        <f t="shared" si="3"/>
        <v>0</v>
      </c>
      <c r="I49" s="338">
        <f t="shared" si="3"/>
        <v>0</v>
      </c>
      <c r="J49" s="338">
        <f t="shared" si="3"/>
        <v>0</v>
      </c>
    </row>
    <row r="50" spans="1:10" ht="12.9" customHeight="1" thickTop="1">
      <c r="A50" s="397"/>
      <c r="B50" s="397"/>
      <c r="C50" s="397"/>
      <c r="D50" s="397"/>
      <c r="E50" s="397"/>
      <c r="F50" s="397"/>
      <c r="G50" s="397"/>
      <c r="H50" s="397"/>
      <c r="I50" s="397"/>
      <c r="J50" s="397"/>
    </row>
    <row r="51" spans="1:10" ht="12.9" customHeight="1">
      <c r="A51" s="397" t="s">
        <v>1161</v>
      </c>
      <c r="B51" s="21" t="e">
        <f>F6-B49</f>
        <v>#N/A</v>
      </c>
      <c r="C51" s="12" t="e">
        <f>IF(B51&lt;0,"You are over budget on expenditures.","")</f>
        <v>#N/A</v>
      </c>
      <c r="D51" s="397"/>
      <c r="E51" s="397"/>
      <c r="F51" s="397"/>
      <c r="G51" s="397"/>
      <c r="H51" s="397"/>
      <c r="I51" s="397"/>
      <c r="J51" s="397"/>
    </row>
    <row r="52" spans="1:10" ht="12.9" customHeight="1">
      <c r="A52" s="397"/>
      <c r="B52" s="397"/>
      <c r="C52" s="397"/>
      <c r="D52" s="397"/>
      <c r="E52" s="397"/>
      <c r="F52" s="397"/>
      <c r="G52" s="397"/>
      <c r="H52" s="397"/>
      <c r="I52" s="397"/>
      <c r="J52" s="397"/>
    </row>
    <row r="53" spans="1:10" ht="12.9" customHeight="1">
      <c r="A53" s="24"/>
      <c r="B53" s="25"/>
      <c r="C53" s="24"/>
      <c r="D53" s="24"/>
      <c r="E53" s="24"/>
      <c r="F53" s="24"/>
      <c r="G53" s="397"/>
      <c r="H53" s="397"/>
      <c r="I53" s="397"/>
      <c r="J53" s="397"/>
    </row>
    <row r="54" spans="1:10" ht="12.9" customHeight="1">
      <c r="A54" s="397"/>
      <c r="B54" s="397"/>
      <c r="C54" s="397"/>
      <c r="D54" s="397"/>
      <c r="E54" s="397"/>
      <c r="F54" s="397"/>
      <c r="G54" s="397"/>
      <c r="H54" s="397"/>
      <c r="I54" s="397"/>
      <c r="J54" s="397"/>
    </row>
    <row r="55" spans="1:10" ht="12.9" customHeight="1">
      <c r="A55" s="231" t="str">
        <f>IF(B55="None","Tab Errors:","")</f>
        <v>Tab Errors:</v>
      </c>
      <c r="B55" s="17" t="str">
        <f>IF(ISERROR(MATCH("x",D56:D75,0)),"None","")</f>
        <v>None</v>
      </c>
      <c r="C55" s="242" t="str">
        <f>IF(ISBLANK(C56:C74),"None","")</f>
        <v/>
      </c>
      <c r="D55" s="234"/>
      <c r="E55" s="234"/>
      <c r="F55" s="24"/>
      <c r="G55" s="24"/>
      <c r="H55" s="24"/>
      <c r="I55" s="397"/>
      <c r="J55" s="397"/>
    </row>
    <row r="56" spans="1:10" ht="12.9" customHeight="1">
      <c r="A56" s="232" t="str">
        <f>IF(B55="None","","Please Review the following")</f>
        <v/>
      </c>
      <c r="B56" s="17" t="str">
        <f>IF(OR('III-B - #11619'!N1="x",'III-B - #11619'!N2="x"),"III-B","")</f>
        <v/>
      </c>
      <c r="C56" s="62"/>
      <c r="D56" s="62" t="str">
        <f>IF(B56&lt;&gt;"","x","")</f>
        <v/>
      </c>
      <c r="E56" s="62" t="str">
        <f>IF(C56&lt;&gt;"","x","")</f>
        <v/>
      </c>
      <c r="F56" s="397"/>
      <c r="G56" s="397"/>
      <c r="H56" s="397"/>
      <c r="I56" s="397"/>
      <c r="J56" s="397"/>
    </row>
    <row r="57" spans="1:10" ht="12.9" customHeight="1">
      <c r="A57" s="231" t="str">
        <f>IF(B55="None","","tabs for errors:")</f>
        <v/>
      </c>
      <c r="B57" s="17" t="str">
        <f>IF(OR('III-C 1 - #12019'!N1="x",'III-C 1 - #12019'!N2="x"),"III-C1","")</f>
        <v/>
      </c>
      <c r="C57" s="234"/>
      <c r="D57" s="62" t="str">
        <f t="shared" ref="D57:E76" si="4">IF(B57&lt;&gt;"","x","")</f>
        <v/>
      </c>
      <c r="E57" s="62" t="str">
        <f t="shared" si="4"/>
        <v/>
      </c>
      <c r="F57" s="397"/>
      <c r="G57" s="397"/>
      <c r="H57" s="397"/>
      <c r="I57" s="397"/>
      <c r="J57" s="397"/>
    </row>
    <row r="58" spans="1:10" ht="12.9" customHeight="1">
      <c r="A58" s="397"/>
      <c r="B58" s="17" t="str">
        <f>IF(OR('III-C2 - #12119'!N1="x",'III-C2 - #12119'!N2="x"),"III-C2","")</f>
        <v/>
      </c>
      <c r="C58" s="62"/>
      <c r="D58" s="62" t="str">
        <f t="shared" si="4"/>
        <v/>
      </c>
      <c r="E58" s="62" t="str">
        <f t="shared" si="4"/>
        <v/>
      </c>
      <c r="F58" s="397"/>
      <c r="G58" s="397"/>
      <c r="H58" s="397"/>
      <c r="I58" s="397"/>
      <c r="J58" s="397"/>
    </row>
    <row r="59" spans="1:10" ht="12.9" customHeight="1">
      <c r="A59" s="118"/>
      <c r="B59" s="17" t="str">
        <f>IF(OR('NSIP 17-18 - #13218'!N1="x",'NSIP 17-18 - #13218'!N2="x"),"NSIP 17-18","")</f>
        <v/>
      </c>
      <c r="C59" s="167" t="str">
        <f>IF(OR('NSIP 18-19 - #13219'!N1="x",'NSIP 18-19 - #13219'!N2="x"),"NSIP 18-19","")</f>
        <v/>
      </c>
      <c r="D59" s="62" t="str">
        <f t="shared" si="4"/>
        <v/>
      </c>
      <c r="E59" s="62" t="str">
        <f t="shared" si="4"/>
        <v/>
      </c>
      <c r="F59" s="397"/>
      <c r="G59" s="397"/>
      <c r="H59" s="397"/>
      <c r="I59" s="397"/>
      <c r="J59" s="397"/>
    </row>
    <row r="60" spans="1:10" ht="12.9" customHeight="1">
      <c r="A60" s="397"/>
      <c r="B60" s="17" t="str">
        <f>IF(OR('III-D - #12419'!N1="x",'III-D - #12419'!N2="x"),"III-D","")</f>
        <v/>
      </c>
      <c r="C60" s="62"/>
      <c r="D60" s="62" t="str">
        <f t="shared" si="4"/>
        <v/>
      </c>
      <c r="E60" s="62" t="str">
        <f t="shared" si="4"/>
        <v/>
      </c>
      <c r="F60" s="397"/>
      <c r="G60" s="397"/>
      <c r="H60" s="397"/>
      <c r="I60" s="397"/>
      <c r="J60" s="397"/>
    </row>
    <row r="61" spans="1:10" ht="12.9" customHeight="1">
      <c r="A61" s="397"/>
      <c r="B61" s="17" t="str">
        <f>IF(OR('III-E - #12519'!N1="x",'III-E - #12519'!N2="x"),"III-E","")</f>
        <v/>
      </c>
      <c r="C61" s="62"/>
      <c r="D61" s="62" t="str">
        <f t="shared" si="4"/>
        <v/>
      </c>
      <c r="E61" s="62" t="str">
        <f t="shared" si="4"/>
        <v/>
      </c>
      <c r="F61" s="397"/>
      <c r="G61" s="397"/>
      <c r="H61" s="397"/>
      <c r="I61" s="397"/>
      <c r="J61" s="397"/>
    </row>
    <row r="62" spans="1:10" ht="12.9" customHeight="1">
      <c r="A62" s="397"/>
      <c r="B62" s="17" t="str">
        <f>IF(OR('Alzheimers FC Support - #122182'!N1="x",'Alzheimers FC Support - #122182'!N2="x"),"AFCSP","")</f>
        <v/>
      </c>
      <c r="C62" s="62"/>
      <c r="D62" s="62" t="str">
        <f t="shared" si="4"/>
        <v/>
      </c>
      <c r="E62" s="62" t="str">
        <f t="shared" si="4"/>
        <v/>
      </c>
      <c r="F62" s="397"/>
      <c r="G62" s="397"/>
      <c r="H62" s="397"/>
      <c r="I62" s="397"/>
      <c r="J62" s="397"/>
    </row>
    <row r="63" spans="1:10" ht="12.9" customHeight="1">
      <c r="A63" s="397"/>
      <c r="B63" s="17" t="str">
        <f>IF(OR('SCS - #11519'!N1="x",'SCS - #11519'!N2="x"),"SCS","")</f>
        <v/>
      </c>
      <c r="C63" s="62"/>
      <c r="D63" s="62" t="str">
        <f t="shared" si="4"/>
        <v/>
      </c>
      <c r="E63" s="62" t="str">
        <f t="shared" si="4"/>
        <v/>
      </c>
      <c r="F63" s="397"/>
      <c r="G63" s="397"/>
      <c r="H63" s="397"/>
      <c r="I63" s="397"/>
      <c r="J63" s="397"/>
    </row>
    <row r="64" spans="1:10" ht="12.9" customHeight="1">
      <c r="A64" s="397"/>
      <c r="B64" s="17" t="e">
        <f>IF(OR('Benefit Spec'!N1="x",'Benefit Spec'!N2="x"),"Benefit Spec","")</f>
        <v>#N/A</v>
      </c>
      <c r="C64" s="62"/>
      <c r="D64" s="62" t="e">
        <f t="shared" si="4"/>
        <v>#N/A</v>
      </c>
      <c r="E64" s="62" t="str">
        <f t="shared" si="4"/>
        <v/>
      </c>
      <c r="F64" s="397"/>
      <c r="G64" s="397"/>
      <c r="H64" s="397"/>
      <c r="I64" s="397"/>
      <c r="J64" s="397"/>
    </row>
    <row r="65" spans="2:5" ht="12.9" customHeight="1">
      <c r="B65" s="17" t="str">
        <f>IF(OR('Benefit Spec I&amp;A Repl #72019'!N1="x",'Benefit Spec I&amp;A Repl #72019'!N2="x"),"EBS I&amp;A Replacement","")</f>
        <v/>
      </c>
      <c r="C65" s="62"/>
      <c r="D65" s="62" t="str">
        <f t="shared" si="4"/>
        <v/>
      </c>
      <c r="E65" s="62" t="str">
        <f t="shared" si="4"/>
        <v/>
      </c>
    </row>
    <row r="66" spans="2:5" ht="15" customHeight="1">
      <c r="B66" s="17" t="str">
        <f>IF(OR('Ben Spec Other Repl - #73019'!N1="x",'Ben Spec Other Repl - #73019'!N2="x"),"Ben Spec Other Replacement","")</f>
        <v/>
      </c>
      <c r="C66" s="62"/>
      <c r="D66" s="62" t="str">
        <f t="shared" si="4"/>
        <v/>
      </c>
      <c r="E66" s="62" t="str">
        <f t="shared" si="4"/>
        <v/>
      </c>
    </row>
    <row r="67" spans="2:5" ht="15" customHeight="1">
      <c r="B67" s="17" t="str">
        <f>IF(OR('Elder Abuse - #12319'!N1="x",'Elder Abuse - #12319'!N2="x"),"Elder Abuse","")</f>
        <v/>
      </c>
      <c r="C67" s="62"/>
      <c r="D67" s="62" t="str">
        <f t="shared" si="4"/>
        <v/>
      </c>
      <c r="E67" s="62" t="str">
        <f t="shared" si="4"/>
        <v/>
      </c>
    </row>
    <row r="68" spans="2:5" ht="15" customHeight="1">
      <c r="B68" s="17" t="str">
        <f>IF(OR('EBS OCI Repl (SPAP)18-19-#13019'!N1="x",'EBS OCI Repl (SPAP)18-19-#13019'!N2="x"),"EBS OCI Repl SPAP 17-18","")</f>
        <v/>
      </c>
      <c r="C68" s="62"/>
      <c r="D68" s="62" t="str">
        <f t="shared" si="4"/>
        <v/>
      </c>
      <c r="E68" s="62" t="str">
        <f t="shared" si="4"/>
        <v/>
      </c>
    </row>
    <row r="69" spans="2:5" ht="15" customHeight="1">
      <c r="B69" s="17" t="str">
        <f>IF(OR('EBS OCI Repl 17-18-#74009 75010'!N1="x",'EBS OCI Repl 17-18-#74009 75010'!N2="x"),"EBS OCI Repl 17-18","")</f>
        <v/>
      </c>
      <c r="C69" s="62"/>
      <c r="D69" s="62" t="str">
        <f t="shared" si="4"/>
        <v/>
      </c>
      <c r="E69" s="62" t="str">
        <f t="shared" si="4"/>
        <v/>
      </c>
    </row>
    <row r="70" spans="2:5" ht="15" customHeight="1">
      <c r="B70" s="17" t="str">
        <f>IF(OR('EBS OCI Repl-Othr 17-18-#75009 '!N1="x",'EBS OCI Repl-Othr 17-18-#75009 '!N2="x"),"EBS OCI Repl Other 17-18","")</f>
        <v/>
      </c>
      <c r="C70" s="62"/>
      <c r="D70" s="62" t="str">
        <f t="shared" si="4"/>
        <v/>
      </c>
      <c r="E70" s="62" t="str">
        <f t="shared" si="4"/>
        <v/>
      </c>
    </row>
    <row r="71" spans="2:5" ht="15" customHeight="1">
      <c r="B71" s="17" t="str">
        <f>IF(OR('SHIP Original 17-18 - #12718'!N1="x",'SHIP Original 17-18 - #12718'!N2="x"),"SHIP Original 17-18","")</f>
        <v/>
      </c>
      <c r="C71" s="167" t="str">
        <f>IF(OR('SHIP Original 18-19 - #12719'!N1="x",'SHIP Original 18-19 - #12719'!N2="x"),"SHIP Original 18-19","")</f>
        <v/>
      </c>
      <c r="D71" s="62" t="str">
        <f t="shared" si="4"/>
        <v/>
      </c>
      <c r="E71" s="62" t="str">
        <f t="shared" si="4"/>
        <v/>
      </c>
    </row>
    <row r="72" spans="2:5" ht="15" customHeight="1">
      <c r="B72" s="17" t="str">
        <f>IF(OR('MIPPA 17-18 - #75018'!N1="x",'MIPPA 17-18 - #75018'!N2="x"),"MIPPA 17-18","")</f>
        <v/>
      </c>
      <c r="C72" s="62"/>
      <c r="D72" s="62" t="str">
        <f t="shared" si="4"/>
        <v/>
      </c>
      <c r="E72" s="62" t="str">
        <f t="shared" si="4"/>
        <v/>
      </c>
    </row>
    <row r="73" spans="2:5" ht="15" customHeight="1">
      <c r="B73" s="17" t="str">
        <f>IF(OR(Other!N1="x",Other!N2="x"),"Other Tab","")</f>
        <v/>
      </c>
      <c r="C73" s="62"/>
      <c r="D73" s="62" t="str">
        <f t="shared" si="4"/>
        <v/>
      </c>
      <c r="E73" s="62" t="str">
        <f t="shared" si="4"/>
        <v/>
      </c>
    </row>
    <row r="74" spans="2:5" ht="15" customHeight="1">
      <c r="B74" s="397"/>
      <c r="C74" s="62"/>
      <c r="D74" s="62" t="str">
        <f t="shared" si="4"/>
        <v/>
      </c>
      <c r="E74" s="62" t="str">
        <f t="shared" si="4"/>
        <v/>
      </c>
    </row>
    <row r="75" spans="2:5" ht="15" customHeight="1">
      <c r="B75" s="397"/>
      <c r="C75" s="62"/>
      <c r="D75" s="62" t="str">
        <f t="shared" si="4"/>
        <v/>
      </c>
      <c r="E75" s="62" t="str">
        <f t="shared" si="4"/>
        <v/>
      </c>
    </row>
    <row r="76" spans="2:5" ht="15" customHeight="1">
      <c r="B76" s="397"/>
      <c r="C76" s="397"/>
      <c r="D76" s="397" t="str">
        <f t="shared" si="4"/>
        <v/>
      </c>
      <c r="E76" s="397" t="str">
        <f t="shared" si="4"/>
        <v/>
      </c>
    </row>
  </sheetData>
  <sheetProtection password="C3C4" sheet="1" objects="1" scenarios="1"/>
  <dataConsolidate>
    <dataRefs count="2">
      <dataRef name="$C$13:'SHIP'!$C$13"/>
      <dataRef ref="C13" sheet="III-B - #11618" r:id="rId1"/>
    </dataRefs>
  </dataConsolidate>
  <customSheetViews>
    <customSheetView guid="{89953FCB-456A-4C2D-8912-B30825F750D3}" fitToPage="1">
      <selection activeCell="B32" sqref="B32"/>
      <pageMargins left="0" right="0" top="0" bottom="0" header="0" footer="0"/>
      <printOptions horizontalCentered="1"/>
      <pageSetup scale="67" orientation="landscape" r:id="rId2"/>
      <headerFooter>
        <oddFooter>&amp;R&amp;Z&amp;F</oddFooter>
      </headerFooter>
    </customSheetView>
  </customSheetViews>
  <mergeCells count="5">
    <mergeCell ref="E5:F5"/>
    <mergeCell ref="A1:C1"/>
    <mergeCell ref="A2:B2"/>
    <mergeCell ref="E3:F3"/>
    <mergeCell ref="D4:F4"/>
  </mergeCells>
  <conditionalFormatting sqref="C51">
    <cfRule type="cellIs" dxfId="36" priority="7" stopIfTrue="1" operator="equal">
      <formula>"You are over budget on expenditures."</formula>
    </cfRule>
  </conditionalFormatting>
  <conditionalFormatting sqref="G3">
    <cfRule type="containsText" dxfId="35" priority="5" stopIfTrue="1" operator="containsText" text="Not Ok">
      <formula>NOT(ISERROR(SEARCH("Not Ok",G3)))</formula>
    </cfRule>
    <cfRule type="containsText" dxfId="34" priority="6" stopIfTrue="1" operator="containsText" text="Not Ok">
      <formula>NOT(ISERROR(SEARCH("Not Ok",G3)))</formula>
    </cfRule>
  </conditionalFormatting>
  <conditionalFormatting sqref="G3">
    <cfRule type="containsText" dxfId="33" priority="4" stopIfTrue="1" operator="containsText" text="Not Ok">
      <formula>NOT(ISERROR(SEARCH("Not Ok",G3)))</formula>
    </cfRule>
  </conditionalFormatting>
  <conditionalFormatting sqref="A1">
    <cfRule type="containsText" dxfId="32" priority="3" operator="containsText" text="End">
      <formula>NOT(ISERROR(SEARCH("End",A1)))</formula>
    </cfRule>
  </conditionalFormatting>
  <conditionalFormatting sqref="A1">
    <cfRule type="containsText" dxfId="31" priority="2" operator="containsText" text="End">
      <formula>NOT(ISERROR(SEARCH("End",A1)))</formula>
    </cfRule>
  </conditionalFormatting>
  <conditionalFormatting sqref="A2:B2">
    <cfRule type="containsText" dxfId="30" priority="1" operator="containsText" text="Please">
      <formula>NOT(ISERROR(SEARCH("Please",A2)))</formula>
    </cfRule>
  </conditionalFormatting>
  <printOptions horizontalCentered="1"/>
  <pageMargins left="0.25" right="0.25" top="0.25" bottom="0.5" header="0" footer="0"/>
  <pageSetup scale="76" orientation="landscape" r:id="rId3"/>
  <headerFooter>
    <oddFooter>&amp;R&amp;Z&amp;F</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pageSetUpPr fitToPage="1"/>
  </sheetPr>
  <dimension ref="A1:J56"/>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31.6640625" customWidth="1"/>
    <col min="2" max="10" width="15.6640625" customWidth="1"/>
  </cols>
  <sheetData>
    <row r="1" spans="1:10" s="15" customFormat="1" ht="15" customHeight="1">
      <c r="A1" s="601"/>
      <c r="B1" s="601"/>
      <c r="C1" s="601"/>
    </row>
    <row r="2" spans="1:10" s="15" customFormat="1" ht="15" customHeight="1">
      <c r="A2" s="601"/>
      <c r="B2" s="574"/>
      <c r="F2" s="156" t="s">
        <v>1121</v>
      </c>
    </row>
    <row r="3" spans="1:10" s="15" customFormat="1" ht="15" customHeight="1">
      <c r="A3" s="17" t="s">
        <v>1123</v>
      </c>
      <c r="E3" s="608" t="str">
        <f>CAUTAU!A99</f>
        <v>Menominee Tribe</v>
      </c>
      <c r="F3" s="608"/>
      <c r="G3" s="167" t="str">
        <f>LOOKUP(E3,Allocations!A4:A92,Allocations!B4:B92)</f>
        <v>X</v>
      </c>
    </row>
    <row r="4" spans="1:10" s="15" customFormat="1" ht="15" customHeight="1">
      <c r="A4" s="17" t="s">
        <v>1125</v>
      </c>
      <c r="D4" s="608" t="e">
        <f>LOOKUP(E5,Date,'Addl Info'!B21:B33)</f>
        <v>#N/A</v>
      </c>
      <c r="E4" s="609"/>
      <c r="F4" s="609"/>
      <c r="G4" s="62"/>
    </row>
    <row r="5" spans="1:10" s="15" customFormat="1" ht="15" customHeight="1">
      <c r="A5" s="17" t="s">
        <v>1126</v>
      </c>
      <c r="E5" s="608" t="str">
        <f>CAUTAU!A100</f>
        <v/>
      </c>
      <c r="F5" s="608"/>
      <c r="G5" s="62" t="str">
        <f>IF(OR(E5="October 2018",E5="November 2018",E5="December 2018",E5="Final Submission 2018"),"x","")</f>
        <v/>
      </c>
    </row>
    <row r="6" spans="1:10" s="15" customFormat="1" ht="15" customHeight="1">
      <c r="A6" s="17" t="s">
        <v>1127</v>
      </c>
      <c r="F6" s="152" t="e">
        <f>SUM('III-B - #11619:Other'!F6)</f>
        <v>#N/A</v>
      </c>
    </row>
    <row r="7" spans="1:10" ht="15" customHeight="1">
      <c r="A7" s="560"/>
      <c r="B7" s="561"/>
      <c r="C7" s="561"/>
      <c r="D7" s="561"/>
      <c r="E7" s="561"/>
      <c r="F7" s="561"/>
      <c r="G7" s="561"/>
      <c r="H7" s="561"/>
      <c r="I7" s="561"/>
      <c r="J7" s="561"/>
    </row>
    <row r="8" spans="1:10" s="2" customFormat="1" ht="15" customHeight="1" thickBot="1">
      <c r="A8" s="1"/>
      <c r="B8" s="223" t="s">
        <v>1351</v>
      </c>
      <c r="C8" s="223"/>
      <c r="D8" s="223"/>
      <c r="E8" s="223"/>
      <c r="F8" s="223"/>
      <c r="G8" s="223"/>
      <c r="H8" s="223"/>
      <c r="I8" s="223"/>
      <c r="J8" s="223"/>
    </row>
    <row r="9" spans="1:10" ht="77.099999999999994" customHeight="1" thickTop="1">
      <c r="A9" s="4" t="s">
        <v>1128</v>
      </c>
      <c r="B9" s="6" t="s">
        <v>1352</v>
      </c>
      <c r="C9" s="6" t="s">
        <v>1353</v>
      </c>
      <c r="D9" s="6" t="s">
        <v>1354</v>
      </c>
      <c r="E9" s="6" t="s">
        <v>1355</v>
      </c>
      <c r="F9" s="6" t="s">
        <v>1356</v>
      </c>
      <c r="G9" s="6" t="s">
        <v>1357</v>
      </c>
      <c r="H9" s="354" t="s">
        <v>1358</v>
      </c>
      <c r="I9" s="6" t="s">
        <v>1359</v>
      </c>
      <c r="J9" s="7" t="s">
        <v>1360</v>
      </c>
    </row>
    <row r="10" spans="1:10" ht="12.9" customHeight="1">
      <c r="A10" s="181" t="s">
        <v>1138</v>
      </c>
      <c r="B10" s="329">
        <f>SUM('III-B - #11619:Other'!C10)-'III-B Other Services'!C10-'III-E - #12519'!C10-'SCS Other Services'!C10-'Alzheimers FC Support - #12219'!C10</f>
        <v>0</v>
      </c>
      <c r="C10" s="329">
        <f>SUM('III-B - #11619:Other'!D10)-'III-B Other Services'!D10-'III-E - #12519'!D10-'SCS Other Services'!D10-'Alzheimers FC Support - #12219'!D10</f>
        <v>0</v>
      </c>
      <c r="D10" s="329">
        <f>SUM('III-B - #11619:Other'!E10)-'III-B Other Services'!E10-'III-E - #12519'!E10-'SCS Other Services'!E10-'Alzheimers FC Support - #12219'!E10</f>
        <v>0</v>
      </c>
      <c r="E10" s="329">
        <f>SUM('III-B - #11619:Other'!F10)-'III-B Other Services'!F10-'III-E - #12519'!F10-'SCS Other Services'!F10-'Alzheimers FC Support - #12219'!F10</f>
        <v>0</v>
      </c>
      <c r="F10" s="329">
        <f>SUM('III-B - #11619:Other'!G10)-'III-B Other Services'!G10-'III-E - #12519'!G10-'SCS Other Services'!G10-'Alzheimers FC Support - #12219'!G10</f>
        <v>0</v>
      </c>
      <c r="G10" s="329">
        <f>SUM('III-B - #11619:Other'!H10)-'III-B Other Services'!H10-'III-E - #12519'!H10-'SCS Other Services'!H10-'Alzheimers FC Support - #12219'!H10</f>
        <v>0</v>
      </c>
      <c r="H10" s="329">
        <f>SUM('III-B - #11619:Other'!J10)-'III-B Other Services'!J10-'III-E - #12519'!J10-'SCS Other Services'!J10</f>
        <v>0</v>
      </c>
      <c r="I10" s="329">
        <f>SUM('III-B - #11619:Other'!L10)-'III-B Other Services'!L10-'III-E - #12519'!L10-'SCS Other Services'!L10</f>
        <v>0</v>
      </c>
      <c r="J10" s="329">
        <f t="shared" ref="J10" si="0">SUM(B10:I10)</f>
        <v>0</v>
      </c>
    </row>
    <row r="11" spans="1:10" ht="12.9" customHeight="1">
      <c r="A11" s="181" t="s">
        <v>1139</v>
      </c>
      <c r="B11" s="329">
        <f>SUM('III-B - #11619:Other'!C11)-'III-B Other Services'!C11-'III-E - #12519'!C11-'SCS Other Services'!C11-'Alzheimers FC Support - #12219'!C11</f>
        <v>0</v>
      </c>
      <c r="C11" s="329">
        <f>SUM('III-B - #11619:Other'!D11)-'III-B Other Services'!D11-'III-E - #12519'!D11-'SCS Other Services'!D11-'Alzheimers FC Support - #12219'!D11</f>
        <v>0</v>
      </c>
      <c r="D11" s="329">
        <f>SUM('III-B - #11619:Other'!E11)-'III-B Other Services'!E11-'III-E - #12519'!E11-'SCS Other Services'!E11-'Alzheimers FC Support - #12219'!E11</f>
        <v>0</v>
      </c>
      <c r="E11" s="329">
        <f>SUM('III-B - #11619:Other'!F11)-'III-B Other Services'!F11-'III-E - #12519'!F11-'SCS Other Services'!F11-'Alzheimers FC Support - #12219'!F11</f>
        <v>0</v>
      </c>
      <c r="F11" s="329">
        <f>SUM('III-B - #11619:Other'!G11)-'III-B Other Services'!G11-'III-E - #12519'!G11-'SCS Other Services'!G11-'Alzheimers FC Support - #12219'!G11</f>
        <v>0</v>
      </c>
      <c r="G11" s="329">
        <f>SUM('III-B - #11619:Other'!H11)-'III-B Other Services'!H11-'III-E - #12519'!H11-'SCS Other Services'!H11-'Alzheimers FC Support - #12219'!H11</f>
        <v>0</v>
      </c>
      <c r="H11" s="329">
        <f>SUM('III-B - #11619:Other'!J11)-'III-B Other Services'!J11-'III-E - #12519'!J11-'SCS Other Services'!J11</f>
        <v>0</v>
      </c>
      <c r="I11" s="329">
        <f>SUM('III-B - #11619:Other'!L11)-'III-B Other Services'!L11-'III-E - #12519'!L11-'SCS Other Services'!L11</f>
        <v>0</v>
      </c>
      <c r="J11" s="329">
        <f t="shared" ref="J11:J27" si="1">SUM(B11:I11)</f>
        <v>0</v>
      </c>
    </row>
    <row r="12" spans="1:10" ht="12.9" customHeight="1">
      <c r="A12" s="181" t="s">
        <v>1140</v>
      </c>
      <c r="B12" s="329">
        <f>SUM('III-B - #11619:Other'!C12)-'III-B Other Services'!C12-'III-E - #12519'!C12-'SCS Other Services'!C12-'Alzheimers FC Support - #12219'!C12</f>
        <v>0</v>
      </c>
      <c r="C12" s="329">
        <f>SUM('III-B - #11619:Other'!D12)-'III-B Other Services'!D12-'III-E - #12519'!D12-'SCS Other Services'!D12-'Alzheimers FC Support - #12219'!D12</f>
        <v>0</v>
      </c>
      <c r="D12" s="329">
        <f>SUM('III-B - #11619:Other'!E12)-'III-B Other Services'!E12-'III-E - #12519'!E12-'SCS Other Services'!E12-'Alzheimers FC Support - #12219'!E12</f>
        <v>0</v>
      </c>
      <c r="E12" s="329">
        <f>SUM('III-B - #11619:Other'!F12)-'III-B Other Services'!F12-'III-E - #12519'!F12-'SCS Other Services'!F12-'Alzheimers FC Support - #12219'!F12</f>
        <v>0</v>
      </c>
      <c r="F12" s="329">
        <f>SUM('III-B - #11619:Other'!G12)-'III-B Other Services'!G12-'III-E - #12519'!G12-'SCS Other Services'!G12-'Alzheimers FC Support - #12219'!G12</f>
        <v>0</v>
      </c>
      <c r="G12" s="329">
        <f>SUM('III-B - #11619:Other'!H12)-'III-B Other Services'!H12-'III-E - #12519'!H12-'SCS Other Services'!H12-'Alzheimers FC Support - #12219'!H12</f>
        <v>0</v>
      </c>
      <c r="H12" s="329">
        <f>SUM('III-B - #11619:Other'!J12)-'III-B Other Services'!J12-'III-E - #12519'!J12-'SCS Other Services'!J12</f>
        <v>0</v>
      </c>
      <c r="I12" s="329">
        <f>SUM('III-B - #11619:Other'!L12)-'III-B Other Services'!L12-'III-E - #12519'!L12-'SCS Other Services'!L12</f>
        <v>0</v>
      </c>
      <c r="J12" s="329">
        <f t="shared" si="1"/>
        <v>0</v>
      </c>
    </row>
    <row r="13" spans="1:10" ht="12.9" customHeight="1">
      <c r="A13" s="181" t="s">
        <v>1141</v>
      </c>
      <c r="B13" s="329">
        <f>SUM('III-B - #11619:Other'!C13)-'III-B Other Services'!C13-'III-E - #12519'!C13-'SCS Other Services'!C13-'Alzheimers FC Support - #12219'!C13</f>
        <v>0</v>
      </c>
      <c r="C13" s="329">
        <f>SUM('III-B - #11619:Other'!D13)-'III-B Other Services'!D13-'III-E - #12519'!D13-'SCS Other Services'!D13-'Alzheimers FC Support - #12219'!D13</f>
        <v>0</v>
      </c>
      <c r="D13" s="329">
        <f>SUM('III-B - #11619:Other'!E13)-'III-B Other Services'!E13-'III-E - #12519'!E13-'SCS Other Services'!E13-'Alzheimers FC Support - #12219'!E13</f>
        <v>0</v>
      </c>
      <c r="E13" s="329">
        <f>SUM('III-B - #11619:Other'!F13)-'III-B Other Services'!F13-'III-E - #12519'!F13-'SCS Other Services'!F13-'Alzheimers FC Support - #12219'!F13</f>
        <v>0</v>
      </c>
      <c r="F13" s="329">
        <f>SUM('III-B - #11619:Other'!G13)-'III-B Other Services'!G13-'III-E - #12519'!G13-'SCS Other Services'!G13-'Alzheimers FC Support - #12219'!G13</f>
        <v>0</v>
      </c>
      <c r="G13" s="329">
        <f>SUM('III-B - #11619:Other'!H13)-'III-B Other Services'!H13-'III-E - #12519'!H13-'SCS Other Services'!H13-'Alzheimers FC Support - #12219'!H13</f>
        <v>0</v>
      </c>
      <c r="H13" s="329">
        <f>SUM('III-B - #11619:Other'!J13)-'III-B Other Services'!J13-'III-E - #12519'!J13-'SCS Other Services'!J13</f>
        <v>0</v>
      </c>
      <c r="I13" s="329">
        <f>SUM('III-B - #11619:Other'!L13)-'III-B Other Services'!L13-'III-E - #12519'!L13-'SCS Other Services'!L13</f>
        <v>0</v>
      </c>
      <c r="J13" s="329">
        <f t="shared" si="1"/>
        <v>0</v>
      </c>
    </row>
    <row r="14" spans="1:10" ht="12.9" customHeight="1">
      <c r="A14" s="181" t="s">
        <v>1142</v>
      </c>
      <c r="B14" s="329">
        <f>SUM('III-B - #11619:Other'!C14)-'III-B Other Services'!C14-'III-E - #12519'!C14-'SCS Other Services'!C14-'Alzheimers FC Support - #12219'!C14</f>
        <v>0</v>
      </c>
      <c r="C14" s="329">
        <f>SUM('III-B - #11619:Other'!D14)-'III-B Other Services'!D14-'III-E - #12519'!D14-'SCS Other Services'!D14-'Alzheimers FC Support - #12219'!D14</f>
        <v>0</v>
      </c>
      <c r="D14" s="329">
        <f>SUM('III-B - #11619:Other'!E14)-'III-B Other Services'!E14-'III-E - #12519'!E14-'SCS Other Services'!E14-'Alzheimers FC Support - #12219'!E14</f>
        <v>0</v>
      </c>
      <c r="E14" s="329">
        <f>SUM('III-B - #11619:Other'!F14)-'III-B Other Services'!F14-'III-E - #12519'!F14-'SCS Other Services'!F14-'Alzheimers FC Support - #12219'!F14</f>
        <v>0</v>
      </c>
      <c r="F14" s="329">
        <f>SUM('III-B - #11619:Other'!G14)-'III-B Other Services'!G14-'III-E - #12519'!G14-'SCS Other Services'!G14-'Alzheimers FC Support - #12219'!G14</f>
        <v>0</v>
      </c>
      <c r="G14" s="329">
        <f>SUM('III-B - #11619:Other'!H14)-'III-B Other Services'!H14-'III-E - #12519'!H14-'SCS Other Services'!H14-'Alzheimers FC Support - #12219'!H14</f>
        <v>0</v>
      </c>
      <c r="H14" s="329">
        <f>SUM('III-B - #11619:Other'!J14)-'III-B Other Services'!J14-'III-E - #12519'!J14-'SCS Other Services'!J14</f>
        <v>0</v>
      </c>
      <c r="I14" s="329">
        <f>SUM('III-B - #11619:Other'!L14)-'III-B Other Services'!L14-'III-E - #12519'!L14-'SCS Other Services'!L14</f>
        <v>0</v>
      </c>
      <c r="J14" s="329">
        <f t="shared" si="1"/>
        <v>0</v>
      </c>
    </row>
    <row r="15" spans="1:10" ht="12.9" customHeight="1">
      <c r="A15" s="181" t="s">
        <v>1143</v>
      </c>
      <c r="B15" s="329">
        <f>SUM('III-B - #11619:Other'!C15)-'III-B Other Services'!C15-'III-E - #12519'!C15-'SCS Other Services'!C15-'Alzheimers FC Support - #12219'!C15</f>
        <v>0</v>
      </c>
      <c r="C15" s="329">
        <f>SUM('III-B - #11619:Other'!D15)-'III-B Other Services'!D15-'III-E - #12519'!D15-'SCS Other Services'!D15-'Alzheimers FC Support - #12219'!D15</f>
        <v>0</v>
      </c>
      <c r="D15" s="329">
        <f>SUM('III-B - #11619:Other'!E15)-'III-B Other Services'!E15-'III-E - #12519'!E15-'SCS Other Services'!E15-'Alzheimers FC Support - #12219'!E15</f>
        <v>0</v>
      </c>
      <c r="E15" s="329">
        <f>SUM('III-B - #11619:Other'!F15)-'III-B Other Services'!F15-'III-E - #12519'!F15-'SCS Other Services'!F15-'Alzheimers FC Support - #12219'!F15</f>
        <v>0</v>
      </c>
      <c r="F15" s="329">
        <f>SUM('III-B - #11619:Other'!G15)-'III-B Other Services'!G15-'III-E - #12519'!G15-'SCS Other Services'!G15-'Alzheimers FC Support - #12219'!G15</f>
        <v>0</v>
      </c>
      <c r="G15" s="329">
        <f>SUM('III-B - #11619:Other'!H15)-'III-B Other Services'!H15-'III-E - #12519'!H15-'SCS Other Services'!H15-'Alzheimers FC Support - #12219'!H15</f>
        <v>0</v>
      </c>
      <c r="H15" s="329">
        <f>SUM('III-B - #11619:Other'!J15)-'III-B Other Services'!J15-'III-E - #12519'!J15-'SCS Other Services'!J15</f>
        <v>0</v>
      </c>
      <c r="I15" s="329">
        <f>SUM('III-B - #11619:Other'!L15)-'III-B Other Services'!L15-'III-E - #12519'!L15-'SCS Other Services'!L15</f>
        <v>0</v>
      </c>
      <c r="J15" s="329">
        <f t="shared" si="1"/>
        <v>0</v>
      </c>
    </row>
    <row r="16" spans="1:10" ht="12.9" customHeight="1">
      <c r="A16" s="181" t="s">
        <v>1144</v>
      </c>
      <c r="B16" s="329">
        <f>SUM('III-B - #11619:Other'!C16)-'III-B Other Services'!C16-'III-E - #12519'!C16-'SCS Other Services'!C16-'Alzheimers FC Support - #12219'!C16</f>
        <v>0</v>
      </c>
      <c r="C16" s="329">
        <f>SUM('III-B - #11619:Other'!D16)-'III-B Other Services'!D16-'III-E - #12519'!D16-'SCS Other Services'!D16-'Alzheimers FC Support - #12219'!D16</f>
        <v>0</v>
      </c>
      <c r="D16" s="329">
        <f>SUM('III-B - #11619:Other'!E16)-'III-B Other Services'!E16-'III-E - #12519'!E16-'SCS Other Services'!E16-'Alzheimers FC Support - #12219'!E16</f>
        <v>0</v>
      </c>
      <c r="E16" s="329">
        <f>SUM('III-B - #11619:Other'!F16)-'III-B Other Services'!F16-'III-E - #12519'!F16-'SCS Other Services'!F16-'Alzheimers FC Support - #12219'!F16</f>
        <v>0</v>
      </c>
      <c r="F16" s="329">
        <f>SUM('III-B - #11619:Other'!G16)-'III-B Other Services'!G16-'III-E - #12519'!G16-'SCS Other Services'!G16-'Alzheimers FC Support - #12219'!G16</f>
        <v>0</v>
      </c>
      <c r="G16" s="329">
        <f>SUM('III-B - #11619:Other'!H16)-'III-B Other Services'!H16-'III-E - #12519'!H16-'SCS Other Services'!H16-'Alzheimers FC Support - #12219'!H16</f>
        <v>0</v>
      </c>
      <c r="H16" s="329">
        <f>SUM('III-B - #11619:Other'!J16)-'III-B Other Services'!J16-'III-E - #12519'!J16-'SCS Other Services'!J16</f>
        <v>0</v>
      </c>
      <c r="I16" s="329">
        <f>SUM('III-B - #11619:Other'!L16)-'III-B Other Services'!L16-'III-E - #12519'!L16-'SCS Other Services'!L16</f>
        <v>0</v>
      </c>
      <c r="J16" s="329">
        <f t="shared" si="1"/>
        <v>0</v>
      </c>
    </row>
    <row r="17" spans="1:10" ht="12.9" customHeight="1">
      <c r="A17" s="181" t="s">
        <v>1145</v>
      </c>
      <c r="B17" s="329">
        <f>SUM('III-B - #11619:Other'!C17)-'III-B Other Services'!C17-'III-E - #12519'!C17-'SCS Other Services'!C17-'Alzheimers FC Support - #12219'!C17</f>
        <v>0</v>
      </c>
      <c r="C17" s="329">
        <f>SUM('III-B - #11619:Other'!D17)-'III-B Other Services'!D17-'III-E - #12519'!D17-'SCS Other Services'!D17-'Alzheimers FC Support - #12219'!D17</f>
        <v>0</v>
      </c>
      <c r="D17" s="329">
        <f>SUM('III-B - #11619:Other'!E17)-'III-B Other Services'!E17-'III-E - #12519'!E17-'SCS Other Services'!E17-'Alzheimers FC Support - #12219'!E17</f>
        <v>0</v>
      </c>
      <c r="E17" s="329">
        <f>SUM('III-B - #11619:Other'!F17)-'III-B Other Services'!F17-'III-E - #12519'!F17-'SCS Other Services'!F17-'Alzheimers FC Support - #12219'!F17</f>
        <v>0</v>
      </c>
      <c r="F17" s="329">
        <f>SUM('III-B - #11619:Other'!G17)-'III-B Other Services'!G17-'III-E - #12519'!G17-'SCS Other Services'!G17-'Alzheimers FC Support - #12219'!G17</f>
        <v>0</v>
      </c>
      <c r="G17" s="329">
        <f>SUM('III-B - #11619:Other'!H17)-'III-B Other Services'!H17-'III-E - #12519'!H17-'SCS Other Services'!H17-'Alzheimers FC Support - #12219'!H17</f>
        <v>0</v>
      </c>
      <c r="H17" s="329">
        <f>SUM('III-B - #11619:Other'!J17)-'III-B Other Services'!J17-'III-E - #12519'!J17-'SCS Other Services'!J17</f>
        <v>0</v>
      </c>
      <c r="I17" s="329">
        <f>SUM('III-B - #11619:Other'!L17)-'III-B Other Services'!L17-'III-E - #12519'!L17-'SCS Other Services'!L17</f>
        <v>0</v>
      </c>
      <c r="J17" s="329">
        <f t="shared" si="1"/>
        <v>0</v>
      </c>
    </row>
    <row r="18" spans="1:10" ht="12.9" customHeight="1">
      <c r="A18" s="181" t="s">
        <v>1146</v>
      </c>
      <c r="B18" s="329">
        <f>SUM('III-B - #11619:Other'!C18)-'III-B Other Services'!C18-'III-E - #12519'!C18-'SCS Other Services'!C18-'Alzheimers FC Support - #12219'!C18</f>
        <v>0</v>
      </c>
      <c r="C18" s="329">
        <f>SUM('III-B - #11619:Other'!D18)-'III-B Other Services'!D18-'III-E - #12519'!D18-'SCS Other Services'!D18-'Alzheimers FC Support - #12219'!D18</f>
        <v>0</v>
      </c>
      <c r="D18" s="329">
        <f>SUM('III-B - #11619:Other'!E18)-'III-B Other Services'!E18-'III-E - #12519'!E18-'SCS Other Services'!E18-'Alzheimers FC Support - #12219'!E18</f>
        <v>0</v>
      </c>
      <c r="E18" s="329">
        <f>SUM('III-B - #11619:Other'!F18)-'III-B Other Services'!F18-'III-E - #12519'!F18-'SCS Other Services'!F18-'Alzheimers FC Support - #12219'!F18</f>
        <v>0</v>
      </c>
      <c r="F18" s="329">
        <f>SUM('III-B - #11619:Other'!G18)-'III-B Other Services'!G18-'III-E - #12519'!G18-'SCS Other Services'!G18-'Alzheimers FC Support - #12219'!G18</f>
        <v>0</v>
      </c>
      <c r="G18" s="329">
        <f>SUM('III-B - #11619:Other'!H18)-'III-B Other Services'!H18-'III-E - #12519'!H18-'SCS Other Services'!H18-'Alzheimers FC Support - #12219'!H18</f>
        <v>0</v>
      </c>
      <c r="H18" s="329">
        <f>SUM('III-B - #11619:Other'!J18)-'III-B Other Services'!J18-'III-E - #12519'!J18-'SCS Other Services'!J18</f>
        <v>0</v>
      </c>
      <c r="I18" s="329">
        <f>SUM('III-B - #11619:Other'!L18)-'III-B Other Services'!L18-'III-E - #12519'!L18-'SCS Other Services'!L18</f>
        <v>0</v>
      </c>
      <c r="J18" s="329">
        <f t="shared" si="1"/>
        <v>0</v>
      </c>
    </row>
    <row r="19" spans="1:10" ht="12.9" customHeight="1">
      <c r="A19" s="181" t="s">
        <v>1194</v>
      </c>
      <c r="B19" s="329">
        <f>SUM('III-B - #11619:Other'!C19)-'III-B Other Services'!C19-'III-E - #12519'!C19-'SCS Other Services'!C19-'Alzheimers FC Support - #12219'!C19</f>
        <v>0</v>
      </c>
      <c r="C19" s="329">
        <f>SUM('III-B - #11619:Other'!D19)-'III-B Other Services'!D19-'III-E - #12519'!D19-'SCS Other Services'!D19-'Alzheimers FC Support - #12219'!D19</f>
        <v>0</v>
      </c>
      <c r="D19" s="329">
        <f>SUM('III-B - #11619:Other'!E19)-'III-B Other Services'!E19-'III-E - #12519'!E19-'SCS Other Services'!E19-'Alzheimers FC Support - #12219'!E19</f>
        <v>0</v>
      </c>
      <c r="E19" s="329">
        <f>SUM('III-B - #11619:Other'!F19)-'III-B Other Services'!F19-'III-E - #12519'!F19-'SCS Other Services'!F19-'Alzheimers FC Support - #12219'!F19</f>
        <v>0</v>
      </c>
      <c r="F19" s="329">
        <f>SUM('III-B - #11619:Other'!G19)-'III-B Other Services'!G19-'III-E - #12519'!G19-'SCS Other Services'!G19-'Alzheimers FC Support - #12219'!G19</f>
        <v>0</v>
      </c>
      <c r="G19" s="329">
        <f>SUM('III-B - #11619:Other'!H19)-'III-B Other Services'!H19-'III-E - #12519'!H19-'SCS Other Services'!H19-'Alzheimers FC Support - #12219'!H19</f>
        <v>0</v>
      </c>
      <c r="H19" s="329">
        <f>SUM('III-B - #11619:Other'!J19)-'III-B Other Services'!J19-'III-E - #12519'!J19-'SCS Other Services'!J19</f>
        <v>0</v>
      </c>
      <c r="I19" s="329">
        <f>SUM('III-B - #11619:Other'!L19)-'III-B Other Services'!L19-'III-E - #12519'!L19-'SCS Other Services'!L19</f>
        <v>0</v>
      </c>
      <c r="J19" s="329">
        <f t="shared" si="1"/>
        <v>0</v>
      </c>
    </row>
    <row r="20" spans="1:10" ht="12.9" customHeight="1">
      <c r="A20" s="181" t="s">
        <v>1195</v>
      </c>
      <c r="B20" s="329">
        <f>SUM('III-B - #11619:Other'!C20)-'III-B Other Services'!C20-'III-E - #12519'!C20-'SCS Other Services'!C20-'Alzheimers FC Support - #12219'!C20</f>
        <v>0</v>
      </c>
      <c r="C20" s="329">
        <f>SUM('III-B - #11619:Other'!D20)-'III-B Other Services'!D20-'III-E - #12519'!D20-'SCS Other Services'!D20-'Alzheimers FC Support - #12219'!D20</f>
        <v>0</v>
      </c>
      <c r="D20" s="329">
        <f>SUM('III-B - #11619:Other'!E20)-'III-B Other Services'!E20-'III-E - #12519'!E20-'SCS Other Services'!E20-'Alzheimers FC Support - #12219'!E20</f>
        <v>0</v>
      </c>
      <c r="E20" s="329">
        <f>SUM('III-B - #11619:Other'!F20)-'III-B Other Services'!F20-'III-E - #12519'!F20-'SCS Other Services'!F20-'Alzheimers FC Support - #12219'!F20</f>
        <v>0</v>
      </c>
      <c r="F20" s="329">
        <f>SUM('III-B - #11619:Other'!G20)-'III-B Other Services'!G20-'III-E - #12519'!G20-'SCS Other Services'!G20-'Alzheimers FC Support - #12219'!G20</f>
        <v>0</v>
      </c>
      <c r="G20" s="329">
        <f>SUM('III-B - #11619:Other'!H20)-'III-B Other Services'!H20-'III-E - #12519'!H20-'SCS Other Services'!H20-'Alzheimers FC Support - #12219'!H20</f>
        <v>0</v>
      </c>
      <c r="H20" s="329">
        <f>SUM('III-B - #11619:Other'!J20)-'III-B Other Services'!J20-'III-E - #12519'!J20-'SCS Other Services'!J20</f>
        <v>0</v>
      </c>
      <c r="I20" s="329">
        <f>SUM('III-B - #11619:Other'!L20)-'III-B Other Services'!L20-'III-E - #12519'!L20-'SCS Other Services'!L20</f>
        <v>0</v>
      </c>
      <c r="J20" s="329">
        <f t="shared" si="1"/>
        <v>0</v>
      </c>
    </row>
    <row r="21" spans="1:10" ht="12.9" customHeight="1">
      <c r="A21" s="181" t="s">
        <v>1149</v>
      </c>
      <c r="B21" s="329">
        <f>SUM('III-B - #11619:Other'!C21)-'III-B Other Services'!C21-'III-E - #12519'!C21-'SCS Other Services'!C21-'Alzheimers FC Support - #12219'!C21</f>
        <v>0</v>
      </c>
      <c r="C21" s="329">
        <f>SUM('III-B - #11619:Other'!D21)-'III-B Other Services'!D21-'III-E - #12519'!D21-'SCS Other Services'!D21-'Alzheimers FC Support - #12219'!D21</f>
        <v>0</v>
      </c>
      <c r="D21" s="329">
        <f>SUM('III-B - #11619:Other'!E21)-'III-B Other Services'!E21-'III-E - #12519'!E21-'SCS Other Services'!E21-'Alzheimers FC Support - #12219'!E21</f>
        <v>0</v>
      </c>
      <c r="E21" s="329">
        <f>SUM('III-B - #11619:Other'!F21)-'III-B Other Services'!F21-'III-E - #12519'!F21-'SCS Other Services'!F21-'Alzheimers FC Support - #12219'!F21</f>
        <v>0</v>
      </c>
      <c r="F21" s="329">
        <f>SUM('III-B - #11619:Other'!G21)-'III-B Other Services'!G21-'III-E - #12519'!G21-'SCS Other Services'!G21-'Alzheimers FC Support - #12219'!G21</f>
        <v>0</v>
      </c>
      <c r="G21" s="329">
        <f>SUM('III-B - #11619:Other'!H21)-'III-B Other Services'!H21-'III-E - #12519'!H21-'SCS Other Services'!H21-'Alzheimers FC Support - #12219'!H21</f>
        <v>0</v>
      </c>
      <c r="H21" s="329">
        <f>SUM('III-B - #11619:Other'!J21)-'III-B Other Services'!J21-'III-E - #12519'!J21-'SCS Other Services'!J21</f>
        <v>0</v>
      </c>
      <c r="I21" s="329">
        <f>SUM('III-B - #11619:Other'!L21)-'III-B Other Services'!L21-'III-E - #12519'!L21-'SCS Other Services'!L21</f>
        <v>0</v>
      </c>
      <c r="J21" s="329">
        <f t="shared" si="1"/>
        <v>0</v>
      </c>
    </row>
    <row r="22" spans="1:10" ht="12.9" customHeight="1">
      <c r="A22" s="181" t="s">
        <v>1150</v>
      </c>
      <c r="B22" s="329">
        <f>SUM('III-B - #11619:Other'!C22)-'III-B Other Services'!C22-'III-E - #12519'!C22-'SCS Other Services'!C22-'Alzheimers FC Support - #12219'!C22</f>
        <v>0</v>
      </c>
      <c r="C22" s="329">
        <f>SUM('III-B - #11619:Other'!D22)-'III-B Other Services'!D22-'III-E - #12519'!D22-'SCS Other Services'!D22-'Alzheimers FC Support - #12219'!D22</f>
        <v>0</v>
      </c>
      <c r="D22" s="329">
        <f>SUM('III-B - #11619:Other'!E22)-'III-B Other Services'!E22-'III-E - #12519'!E22-'SCS Other Services'!E22-'Alzheimers FC Support - #12219'!E22</f>
        <v>0</v>
      </c>
      <c r="E22" s="329">
        <f>SUM('III-B - #11619:Other'!F22)-'III-B Other Services'!F22-'III-E - #12519'!F22-'SCS Other Services'!F22-'Alzheimers FC Support - #12219'!F22</f>
        <v>0</v>
      </c>
      <c r="F22" s="329">
        <f>SUM('III-B - #11619:Other'!G22)-'III-B Other Services'!G22-'III-E - #12519'!G22-'SCS Other Services'!G22-'Alzheimers FC Support - #12219'!G22</f>
        <v>0</v>
      </c>
      <c r="G22" s="329">
        <f>SUM('III-B - #11619:Other'!H22)-'III-B Other Services'!H22-'III-E - #12519'!H22-'SCS Other Services'!H22-'Alzheimers FC Support - #12219'!H22</f>
        <v>0</v>
      </c>
      <c r="H22" s="329">
        <f>SUM('III-B - #11619:Other'!J22)-'III-B Other Services'!J22-'III-E - #12519'!J22-'SCS Other Services'!J22</f>
        <v>0</v>
      </c>
      <c r="I22" s="329">
        <f>SUM('III-B - #11619:Other'!L22)-'III-B Other Services'!L22-'III-E - #12519'!L22-'SCS Other Services'!L22</f>
        <v>0</v>
      </c>
      <c r="J22" s="329">
        <f t="shared" si="1"/>
        <v>0</v>
      </c>
    </row>
    <row r="23" spans="1:10" ht="12.9" customHeight="1">
      <c r="A23" s="181" t="s">
        <v>1151</v>
      </c>
      <c r="B23" s="329">
        <f>SUM('III-B - #11619:Other'!C23)-'III-B Other Services'!C23-'III-E - #12519'!C23-'SCS Other Services'!C23-'Alzheimers FC Support - #12219'!C23</f>
        <v>0</v>
      </c>
      <c r="C23" s="329">
        <f>SUM('III-B - #11619:Other'!D23)-'III-B Other Services'!D23-'III-E - #12519'!D23-'SCS Other Services'!D23-'Alzheimers FC Support - #12219'!D23</f>
        <v>0</v>
      </c>
      <c r="D23" s="329">
        <f>SUM('III-B - #11619:Other'!E23)-'III-B Other Services'!E23-'III-E - #12519'!E23-'SCS Other Services'!E23-'Alzheimers FC Support - #12219'!E23</f>
        <v>0</v>
      </c>
      <c r="E23" s="329">
        <f>SUM('III-B - #11619:Other'!F23)-'III-B Other Services'!F23-'III-E - #12519'!F23-'SCS Other Services'!F23-'Alzheimers FC Support - #12219'!F23</f>
        <v>0</v>
      </c>
      <c r="F23" s="329">
        <f>SUM('III-B - #11619:Other'!G23)-'III-B Other Services'!G23-'III-E - #12519'!G23-'SCS Other Services'!G23-'Alzheimers FC Support - #12219'!G23</f>
        <v>0</v>
      </c>
      <c r="G23" s="329">
        <f>SUM('III-B - #11619:Other'!H23)-'III-B Other Services'!H23-'III-E - #12519'!H23-'SCS Other Services'!H23-'Alzheimers FC Support - #12219'!H23</f>
        <v>0</v>
      </c>
      <c r="H23" s="329">
        <f>SUM('III-B - #11619:Other'!J23)-'III-B Other Services'!J23-'III-E - #12519'!J23-'SCS Other Services'!J23</f>
        <v>0</v>
      </c>
      <c r="I23" s="329">
        <f>SUM('III-B - #11619:Other'!L23)-'III-B Other Services'!L23-'III-E - #12519'!L23-'SCS Other Services'!L23</f>
        <v>0</v>
      </c>
      <c r="J23" s="329">
        <f t="shared" si="1"/>
        <v>0</v>
      </c>
    </row>
    <row r="24" spans="1:10" ht="12.9" customHeight="1">
      <c r="A24" s="181" t="s">
        <v>1152</v>
      </c>
      <c r="B24" s="329">
        <f>SUM('III-B - #11619:Other'!C24)-'III-B Other Services'!C24-'III-E - #12519'!C24-'SCS Other Services'!C24-'Alzheimers FC Support - #12219'!C24</f>
        <v>0</v>
      </c>
      <c r="C24" s="329">
        <f>SUM('III-B - #11619:Other'!D24)-'III-B Other Services'!D24-'III-E - #12519'!D24-'SCS Other Services'!D24-'Alzheimers FC Support - #12219'!D24</f>
        <v>0</v>
      </c>
      <c r="D24" s="329">
        <f>SUM('III-B - #11619:Other'!E24)-'III-B Other Services'!E24-'III-E - #12519'!E24-'SCS Other Services'!E24-'Alzheimers FC Support - #12219'!E24</f>
        <v>0</v>
      </c>
      <c r="E24" s="329">
        <f>SUM('III-B - #11619:Other'!F24)-'III-B Other Services'!F24-'III-E - #12519'!F24-'SCS Other Services'!F24-'Alzheimers FC Support - #12219'!F24</f>
        <v>0</v>
      </c>
      <c r="F24" s="329">
        <f>SUM('III-B - #11619:Other'!G24)-'III-B Other Services'!G24-'III-E - #12519'!G24-'SCS Other Services'!G24-'Alzheimers FC Support - #12219'!G24</f>
        <v>0</v>
      </c>
      <c r="G24" s="329">
        <f>SUM('III-B - #11619:Other'!H24)-'III-B Other Services'!H24-'III-E - #12519'!H24-'SCS Other Services'!H24-'Alzheimers FC Support - #12219'!H24</f>
        <v>0</v>
      </c>
      <c r="H24" s="329">
        <f>SUM('III-B - #11619:Other'!J24)-'III-B Other Services'!J24-'III-E - #12519'!J24-'SCS Other Services'!J24</f>
        <v>0</v>
      </c>
      <c r="I24" s="329">
        <f>SUM('III-B - #11619:Other'!L24)-'III-B Other Services'!L24-'III-E - #12519'!L24-'SCS Other Services'!L24</f>
        <v>0</v>
      </c>
      <c r="J24" s="329">
        <f t="shared" si="1"/>
        <v>0</v>
      </c>
    </row>
    <row r="25" spans="1:10" ht="12.9" customHeight="1">
      <c r="A25" s="198" t="s">
        <v>1153</v>
      </c>
      <c r="B25" s="329">
        <f>SUM('III-B - #11619:Other'!C25)-'III-B Other Services'!C25-'III-E - #12519'!C25-'SCS Other Services'!C25-'Alzheimers FC Support - #12219'!C25</f>
        <v>0</v>
      </c>
      <c r="C25" s="329">
        <f>SUM('III-B - #11619:Other'!D25)-'III-B Other Services'!D25-'III-E - #12519'!D25-'SCS Other Services'!D25-'Alzheimers FC Support - #12219'!D25</f>
        <v>0</v>
      </c>
      <c r="D25" s="329">
        <f>SUM('III-B - #11619:Other'!E25)-'III-B Other Services'!E25-'III-E - #12519'!E25-'SCS Other Services'!E25-'Alzheimers FC Support - #12219'!E25</f>
        <v>0</v>
      </c>
      <c r="E25" s="329">
        <f>SUM('III-B - #11619:Other'!F25)-'III-B Other Services'!F25-'III-E - #12519'!F25-'SCS Other Services'!F25-'Alzheimers FC Support - #12219'!F25</f>
        <v>0</v>
      </c>
      <c r="F25" s="329">
        <f>SUM('III-B - #11619:Other'!G25)-'III-B Other Services'!G25-'III-E - #12519'!G25-'SCS Other Services'!G25-'Alzheimers FC Support - #12219'!G25</f>
        <v>0</v>
      </c>
      <c r="G25" s="329">
        <f>SUM('III-B - #11619:Other'!H25)-'III-B Other Services'!H25-'III-E - #12519'!H25-'SCS Other Services'!H25-'Alzheimers FC Support - #12219'!H25</f>
        <v>0</v>
      </c>
      <c r="H25" s="329">
        <f>SUM('III-B - #11619:Other'!J25)-'III-B Other Services'!J25-'III-E - #12519'!J25-'SCS Other Services'!J25</f>
        <v>0</v>
      </c>
      <c r="I25" s="329">
        <f>SUM('III-B - #11619:Other'!L25)-'III-B Other Services'!L25-'III-E - #12519'!L25-'SCS Other Services'!L25</f>
        <v>0</v>
      </c>
      <c r="J25" s="329">
        <f t="shared" si="1"/>
        <v>0</v>
      </c>
    </row>
    <row r="26" spans="1:10" ht="12.9" customHeight="1">
      <c r="A26" s="199" t="s">
        <v>1154</v>
      </c>
      <c r="B26" s="329">
        <f>SUM('III-B - #11619:Other'!C26)-'III-B Other Services'!C26-'III-E - #12519'!C26-'SCS Other Services'!C26-'Alzheimers FC Support - #12219'!C26</f>
        <v>0</v>
      </c>
      <c r="C26" s="329">
        <f>SUM('III-B - #11619:Other'!D26)-'III-B Other Services'!D26-'III-E - #12519'!D26-'SCS Other Services'!D26-'Alzheimers FC Support - #12219'!D26</f>
        <v>0</v>
      </c>
      <c r="D26" s="329">
        <f>SUM('III-B - #11619:Other'!E26)-'III-B Other Services'!E26-'III-E - #12519'!E26-'SCS Other Services'!E26-'Alzheimers FC Support - #12219'!E26</f>
        <v>0</v>
      </c>
      <c r="E26" s="329">
        <f>SUM('III-B - #11619:Other'!F26)-'III-B Other Services'!F26-'III-E - #12519'!F26-'SCS Other Services'!F26-'Alzheimers FC Support - #12219'!F26</f>
        <v>0</v>
      </c>
      <c r="F26" s="329">
        <f>SUM('III-B - #11619:Other'!G26)-'III-B Other Services'!G26-'III-E - #12519'!G26-'SCS Other Services'!G26-'Alzheimers FC Support - #12219'!G26</f>
        <v>0</v>
      </c>
      <c r="G26" s="329">
        <f>SUM('III-B - #11619:Other'!H26)-'III-B Other Services'!H26-'III-E - #12519'!H26-'SCS Other Services'!H26-'Alzheimers FC Support - #12219'!H26</f>
        <v>0</v>
      </c>
      <c r="H26" s="329">
        <f>SUM('III-B - #11619:Other'!J26)-'III-B Other Services'!J26-'III-E - #12519'!J26-'SCS Other Services'!J26</f>
        <v>0</v>
      </c>
      <c r="I26" s="329">
        <f>SUM('III-B - #11619:Other'!L26)-'III-B Other Services'!L26-'III-E - #12519'!L26-'SCS Other Services'!L26</f>
        <v>0</v>
      </c>
      <c r="J26" s="329">
        <f t="shared" si="1"/>
        <v>0</v>
      </c>
    </row>
    <row r="27" spans="1:10" ht="12.9" customHeight="1">
      <c r="A27" s="5"/>
      <c r="B27" s="329"/>
      <c r="C27" s="329"/>
      <c r="D27" s="329"/>
      <c r="E27" s="329"/>
      <c r="F27" s="329"/>
      <c r="G27" s="329"/>
      <c r="H27" s="329"/>
      <c r="I27" s="329"/>
      <c r="J27" s="329">
        <f t="shared" si="1"/>
        <v>0</v>
      </c>
    </row>
    <row r="28" spans="1:10" ht="12.9" customHeight="1">
      <c r="A28" s="133" t="s">
        <v>192</v>
      </c>
      <c r="B28" s="329">
        <f>'Alzheimers FC Support - #12219'!C35</f>
        <v>0</v>
      </c>
      <c r="C28" s="329">
        <f>'Alzheimers FC Support - #12219'!D35</f>
        <v>0</v>
      </c>
      <c r="D28" s="329">
        <f>'Alzheimers FC Support - #12219'!E35</f>
        <v>0</v>
      </c>
      <c r="E28" s="329">
        <f>'Alzheimers FC Support - #12219'!F35</f>
        <v>0</v>
      </c>
      <c r="F28" s="329">
        <f>'Alzheimers FC Support - #12219'!G35</f>
        <v>0</v>
      </c>
      <c r="G28" s="329">
        <f>'Alzheimers FC Support - #12219'!H35</f>
        <v>0</v>
      </c>
      <c r="H28" s="329">
        <f>'Alzheimers FC Support - #12219'!J35</f>
        <v>0</v>
      </c>
      <c r="I28" s="329">
        <f>'Alzheimers FC Support - #12219'!L35</f>
        <v>0</v>
      </c>
      <c r="J28" s="329">
        <f>SUM(B28:I28)</f>
        <v>0</v>
      </c>
    </row>
    <row r="29" spans="1:10" ht="12.9" customHeight="1" thickBot="1">
      <c r="A29" s="14"/>
      <c r="B29" s="148"/>
      <c r="C29" s="148"/>
      <c r="D29" s="148"/>
      <c r="E29" s="22"/>
      <c r="F29" s="22"/>
      <c r="G29" s="22"/>
      <c r="H29" s="22"/>
      <c r="I29" s="22"/>
      <c r="J29" s="23"/>
    </row>
    <row r="30" spans="1:10" ht="12.9" customHeight="1" thickBot="1">
      <c r="A30" s="9" t="s">
        <v>210</v>
      </c>
      <c r="B30" s="10">
        <f t="shared" ref="B30:J30" si="2">SUM(B10:B29)</f>
        <v>0</v>
      </c>
      <c r="C30" s="10">
        <f t="shared" si="2"/>
        <v>0</v>
      </c>
      <c r="D30" s="10">
        <f t="shared" si="2"/>
        <v>0</v>
      </c>
      <c r="E30" s="10">
        <f t="shared" si="2"/>
        <v>0</v>
      </c>
      <c r="F30" s="10">
        <f t="shared" si="2"/>
        <v>0</v>
      </c>
      <c r="G30" s="10">
        <f t="shared" si="2"/>
        <v>0</v>
      </c>
      <c r="H30" s="10">
        <f t="shared" si="2"/>
        <v>0</v>
      </c>
      <c r="I30" s="10">
        <f t="shared" si="2"/>
        <v>0</v>
      </c>
      <c r="J30" s="10">
        <f t="shared" si="2"/>
        <v>0</v>
      </c>
    </row>
    <row r="31" spans="1:10" ht="12.9" customHeight="1" thickTop="1">
      <c r="A31" s="397"/>
      <c r="B31" s="397"/>
      <c r="C31" s="397"/>
      <c r="D31" s="397"/>
      <c r="E31" s="397"/>
      <c r="F31" s="397"/>
      <c r="G31" s="397"/>
      <c r="H31" s="397"/>
      <c r="I31" s="397"/>
      <c r="J31" s="397"/>
    </row>
    <row r="32" spans="1:10" ht="12.9" customHeight="1">
      <c r="A32" s="397" t="s">
        <v>1161</v>
      </c>
      <c r="B32" s="21" t="e">
        <f>F6-B30</f>
        <v>#N/A</v>
      </c>
      <c r="C32" s="12" t="e">
        <f>IF(B32&lt;0,"You are over budget on expenditures.","")</f>
        <v>#N/A</v>
      </c>
      <c r="D32" s="397"/>
      <c r="E32" s="397"/>
      <c r="F32" s="397"/>
      <c r="G32" s="397"/>
      <c r="H32" s="397"/>
      <c r="I32" s="397"/>
      <c r="J32" s="397"/>
    </row>
    <row r="33" spans="1:8" ht="12.9" customHeight="1">
      <c r="A33" s="397"/>
      <c r="B33" s="397"/>
      <c r="C33" s="397"/>
      <c r="D33" s="397"/>
      <c r="E33" s="397"/>
      <c r="F33" s="397"/>
      <c r="G33" s="397"/>
      <c r="H33" s="397"/>
    </row>
    <row r="34" spans="1:8" ht="12.9" customHeight="1">
      <c r="A34" s="24"/>
      <c r="B34" s="25"/>
      <c r="C34" s="24"/>
      <c r="D34" s="24"/>
      <c r="E34" s="24"/>
      <c r="F34" s="24"/>
      <c r="G34" s="397"/>
      <c r="H34" s="397"/>
    </row>
    <row r="35" spans="1:8" ht="12.9" customHeight="1">
      <c r="A35" s="397"/>
      <c r="B35" s="397"/>
      <c r="C35" s="397"/>
      <c r="D35" s="397"/>
      <c r="E35" s="397"/>
      <c r="F35" s="397"/>
      <c r="G35" s="397"/>
      <c r="H35" s="397"/>
    </row>
    <row r="36" spans="1:8" ht="12.9" customHeight="1">
      <c r="A36" s="231" t="str">
        <f>IF(B36="None","Tab Errors:","")</f>
        <v>Tab Errors:</v>
      </c>
      <c r="B36" s="17" t="str">
        <f>IF(ISERROR(MATCH("x",D37:D56,0)),"None","")</f>
        <v>None</v>
      </c>
      <c r="C36" s="233" t="str">
        <f>IF(ISBLANK(C37:C55),"None","")</f>
        <v/>
      </c>
      <c r="D36" s="62" t="str">
        <f>IF(B36&lt;&gt;"","x","")</f>
        <v>x</v>
      </c>
      <c r="E36" s="24"/>
      <c r="F36" s="24"/>
      <c r="G36" s="24"/>
      <c r="H36" s="24"/>
    </row>
    <row r="37" spans="1:8" ht="12.9" customHeight="1">
      <c r="A37" s="232" t="str">
        <f>IF(B36="None","","Please Review the following")</f>
        <v/>
      </c>
      <c r="B37" s="17" t="str">
        <f>IF(OR('III-B - #11619'!N1="x",'III-B - #11619'!N2="x"),"III-B","")</f>
        <v/>
      </c>
      <c r="C37" s="62"/>
      <c r="D37" s="62" t="str">
        <f t="shared" ref="D37:D56" si="3">IF(B37&lt;&gt;"","x","")</f>
        <v/>
      </c>
      <c r="E37" s="397"/>
      <c r="F37" s="397"/>
      <c r="G37" s="397"/>
      <c r="H37" s="397"/>
    </row>
    <row r="38" spans="1:8" ht="12.9" customHeight="1">
      <c r="A38" s="231" t="str">
        <f>IF(B36="None","","tabs for errors:")</f>
        <v/>
      </c>
      <c r="B38" s="17" t="str">
        <f>IF(OR('III-C 1 - #12019'!N1="x",'III-C 1 - #12019'!N2="x"),"III-C1","")</f>
        <v/>
      </c>
      <c r="C38" s="234"/>
      <c r="D38" s="62" t="str">
        <f t="shared" si="3"/>
        <v/>
      </c>
      <c r="E38" s="24"/>
      <c r="F38" s="397"/>
      <c r="G38" s="397"/>
      <c r="H38" s="397"/>
    </row>
    <row r="39" spans="1:8" ht="12.9" customHeight="1">
      <c r="A39" s="397"/>
      <c r="B39" s="17" t="str">
        <f>IF(OR('III-C2 - #12119'!N1="x",'III-C2 - #12119'!N2="x"),"III-C2","")</f>
        <v/>
      </c>
      <c r="C39" s="62"/>
      <c r="D39" s="62" t="str">
        <f t="shared" si="3"/>
        <v/>
      </c>
      <c r="E39" s="397"/>
      <c r="F39" s="397"/>
      <c r="G39" s="397"/>
      <c r="H39" s="397"/>
    </row>
    <row r="40" spans="1:8" ht="12.9" customHeight="1">
      <c r="A40" s="118"/>
      <c r="B40" s="17" t="str">
        <f>IF(OR('NSIP 17-18 - #13218'!N1="x",'NSIP 17-18 - #13218'!N2="x"),"NSIP 17-18","")</f>
        <v/>
      </c>
      <c r="C40" s="167" t="str">
        <f>IF(OR('NSIP 18-19 - #13219'!N1="x",'NSIP 18-19 - #13219'!N2="x"),"NSIP 18-19","")</f>
        <v/>
      </c>
      <c r="D40" s="62" t="str">
        <f t="shared" si="3"/>
        <v/>
      </c>
      <c r="E40" s="397"/>
      <c r="F40" s="397"/>
      <c r="G40" s="397"/>
      <c r="H40" s="397"/>
    </row>
    <row r="41" spans="1:8" ht="12.9" customHeight="1">
      <c r="A41" s="397"/>
      <c r="B41" s="17" t="str">
        <f>IF(OR('III-D - #12419'!N1="x",'III-D - #12419'!N2="x"),"III-D","")</f>
        <v/>
      </c>
      <c r="C41" s="62"/>
      <c r="D41" s="62" t="str">
        <f t="shared" si="3"/>
        <v/>
      </c>
      <c r="E41" s="397"/>
      <c r="F41" s="397"/>
      <c r="G41" s="397"/>
      <c r="H41" s="397"/>
    </row>
    <row r="42" spans="1:8" ht="12.9" customHeight="1">
      <c r="A42" s="397"/>
      <c r="B42" s="17" t="str">
        <f>IF(OR('III-E - #12519'!N1="x",'III-E - #12519'!N2="x"),"III-E","")</f>
        <v/>
      </c>
      <c r="C42" s="62"/>
      <c r="D42" s="62" t="str">
        <f t="shared" si="3"/>
        <v/>
      </c>
      <c r="E42" s="397"/>
      <c r="F42" s="397"/>
      <c r="G42" s="397"/>
      <c r="H42" s="397"/>
    </row>
    <row r="43" spans="1:8" ht="12.9" customHeight="1">
      <c r="A43" s="397"/>
      <c r="B43" s="17" t="str">
        <f>IF(OR('Alzheimers FC Support - #122182'!N1="x",'Alzheimers FC Support - #122182'!N2="x"),"AFCSP","")</f>
        <v/>
      </c>
      <c r="C43" s="62"/>
      <c r="D43" s="62" t="str">
        <f t="shared" si="3"/>
        <v/>
      </c>
      <c r="E43" s="397"/>
      <c r="F43" s="397"/>
      <c r="G43" s="397"/>
      <c r="H43" s="397"/>
    </row>
    <row r="44" spans="1:8" ht="12.9" customHeight="1">
      <c r="A44" s="397"/>
      <c r="B44" s="17" t="str">
        <f>IF(OR('SCS - #11519'!N1="x",'SCS - #11519'!N2="x"),"SCS","")</f>
        <v/>
      </c>
      <c r="C44" s="62"/>
      <c r="D44" s="62" t="str">
        <f t="shared" si="3"/>
        <v/>
      </c>
      <c r="E44" s="397"/>
      <c r="F44" s="397"/>
      <c r="G44" s="397"/>
      <c r="H44" s="397"/>
    </row>
    <row r="45" spans="1:8" ht="12.9" customHeight="1">
      <c r="A45" s="397"/>
      <c r="B45" s="17" t="e">
        <f>IF(OR('Benefit Spec'!N1="x",'Benefit Spec'!N2="x"),"Benefit Spec","")</f>
        <v>#N/A</v>
      </c>
      <c r="C45" s="62"/>
      <c r="D45" s="62" t="e">
        <f t="shared" si="3"/>
        <v>#N/A</v>
      </c>
      <c r="E45" s="397"/>
      <c r="F45" s="397"/>
      <c r="G45" s="397"/>
      <c r="H45" s="397"/>
    </row>
    <row r="46" spans="1:8" ht="12.9" customHeight="1">
      <c r="A46" s="397"/>
      <c r="B46" s="17" t="str">
        <f>IF(OR('Benefit Spec I&amp;A Repl #72019'!N1="x",'Benefit Spec I&amp;A Repl #72019'!N2="x"),"EBS I&amp;A Replacement","")</f>
        <v/>
      </c>
      <c r="C46" s="62"/>
      <c r="D46" s="62" t="str">
        <f t="shared" si="3"/>
        <v/>
      </c>
      <c r="E46" s="397"/>
      <c r="F46" s="397"/>
      <c r="G46" s="397"/>
      <c r="H46" s="397"/>
    </row>
    <row r="47" spans="1:8" ht="15" customHeight="1">
      <c r="A47" s="397"/>
      <c r="B47" s="17" t="str">
        <f>IF(OR('Ben Spec Other Repl - #73019'!N1="x",'Ben Spec Other Repl - #73019'!N2="x"),"Ben Spec Other Replacement","")</f>
        <v/>
      </c>
      <c r="C47" s="62"/>
      <c r="D47" s="62" t="str">
        <f t="shared" si="3"/>
        <v/>
      </c>
      <c r="E47" s="397"/>
      <c r="F47" s="397"/>
      <c r="G47" s="397"/>
      <c r="H47" s="397"/>
    </row>
    <row r="48" spans="1:8" ht="15" customHeight="1">
      <c r="A48" s="397"/>
      <c r="B48" s="17" t="str">
        <f>IF(OR('Elder Abuse - #12319'!N1="x",'Elder Abuse - #12319'!N2="x"),"Elder Abuse","")</f>
        <v/>
      </c>
      <c r="C48" s="62"/>
      <c r="D48" s="62" t="str">
        <f t="shared" si="3"/>
        <v/>
      </c>
      <c r="E48" s="397"/>
      <c r="F48" s="397"/>
      <c r="G48" s="397"/>
      <c r="H48" s="397"/>
    </row>
    <row r="49" spans="2:4" ht="15" customHeight="1">
      <c r="B49" s="17" t="str">
        <f>IF(OR('EBS OCI Repl (SPAP)18-19-#13019'!N1="x",'EBS OCI Repl (SPAP)18-19-#13019'!N2="x"),"EBS OCI Repl SPAP 17-18","")</f>
        <v/>
      </c>
      <c r="C49" s="62"/>
      <c r="D49" s="62" t="str">
        <f t="shared" si="3"/>
        <v/>
      </c>
    </row>
    <row r="50" spans="2:4" ht="15" customHeight="1">
      <c r="B50" s="17" t="str">
        <f>IF(OR('EBS OCI Repl 17-18-#74009 75010'!N1="x",'EBS OCI Repl 17-18-#74009 75010'!N2="x"),"EBS OCI Repl 17-18","")</f>
        <v/>
      </c>
      <c r="C50" s="62"/>
      <c r="D50" s="62" t="str">
        <f t="shared" si="3"/>
        <v/>
      </c>
    </row>
    <row r="51" spans="2:4" ht="15" customHeight="1">
      <c r="B51" s="17" t="str">
        <f>IF(OR('EBS OCI Repl-Othr 17-18-#75009 '!N1="x",'EBS OCI Repl-Othr 17-18-#75009 '!N2="x"),"EBS OCI Repl Other 17-18","")</f>
        <v/>
      </c>
      <c r="C51" s="62"/>
      <c r="D51" s="62" t="str">
        <f t="shared" si="3"/>
        <v/>
      </c>
    </row>
    <row r="52" spans="2:4" ht="15" customHeight="1">
      <c r="B52" s="17" t="str">
        <f>IF(OR('SHIP Original 17-18 - #12718'!N1="x",'SHIP Original 17-18 - #12718'!N2="x"),"SHIP Original 17-18","")</f>
        <v/>
      </c>
      <c r="C52" s="167" t="str">
        <f>IF(OR('SHIP Original 18-19 - #12719'!N1="x",'SHIP Original 18-19 - #12719'!N2="x"),"SHIP Original 18-19","")</f>
        <v/>
      </c>
      <c r="D52" s="62" t="str">
        <f t="shared" si="3"/>
        <v/>
      </c>
    </row>
    <row r="53" spans="2:4" ht="15" customHeight="1">
      <c r="B53" s="17" t="str">
        <f>IF(OR('MIPPA 17-18 - #75018'!N1="x",'MIPPA 17-18 - #75018'!N2="x"),"MIPPA 17-18","")</f>
        <v/>
      </c>
      <c r="C53" s="62"/>
      <c r="D53" s="62" t="str">
        <f t="shared" si="3"/>
        <v/>
      </c>
    </row>
    <row r="54" spans="2:4" ht="15" customHeight="1">
      <c r="B54" s="17" t="str">
        <f>IF(OR(Other!N1="x",Other!N2="x"),"Other Tab","")</f>
        <v/>
      </c>
      <c r="C54" s="62"/>
      <c r="D54" s="62" t="str">
        <f t="shared" si="3"/>
        <v/>
      </c>
    </row>
    <row r="55" spans="2:4" ht="15" customHeight="1">
      <c r="B55" s="397"/>
      <c r="C55" s="62"/>
      <c r="D55" s="62" t="str">
        <f t="shared" si="3"/>
        <v/>
      </c>
    </row>
    <row r="56" spans="2:4" ht="15" customHeight="1">
      <c r="B56" s="397"/>
      <c r="C56" s="397"/>
      <c r="D56" s="397" t="str">
        <f t="shared" si="3"/>
        <v/>
      </c>
    </row>
  </sheetData>
  <sheetProtection password="C3C4" sheet="1" objects="1" scenarios="1"/>
  <dataConsolidate>
    <dataRefs count="2">
      <dataRef name="$C$13:'SHIP'!$C$13"/>
      <dataRef ref="C13" sheet="III-B - #11618" r:id="rId1"/>
    </dataRefs>
  </dataConsolidate>
  <mergeCells count="5">
    <mergeCell ref="A1:C1"/>
    <mergeCell ref="A2:B2"/>
    <mergeCell ref="E3:F3"/>
    <mergeCell ref="D4:F4"/>
    <mergeCell ref="E5:F5"/>
  </mergeCells>
  <conditionalFormatting sqref="C32">
    <cfRule type="cellIs" dxfId="29" priority="7" stopIfTrue="1" operator="equal">
      <formula>"You are over budget on expenditures."</formula>
    </cfRule>
  </conditionalFormatting>
  <conditionalFormatting sqref="G3">
    <cfRule type="containsText" dxfId="28" priority="5" stopIfTrue="1" operator="containsText" text="Not Ok">
      <formula>NOT(ISERROR(SEARCH("Not Ok",G3)))</formula>
    </cfRule>
    <cfRule type="containsText" dxfId="27" priority="6" stopIfTrue="1" operator="containsText" text="Not Ok">
      <formula>NOT(ISERROR(SEARCH("Not Ok",G3)))</formula>
    </cfRule>
  </conditionalFormatting>
  <conditionalFormatting sqref="G3">
    <cfRule type="containsText" dxfId="26" priority="4" stopIfTrue="1" operator="containsText" text="Not Ok">
      <formula>NOT(ISERROR(SEARCH("Not Ok",G3)))</formula>
    </cfRule>
  </conditionalFormatting>
  <conditionalFormatting sqref="A1">
    <cfRule type="containsText" dxfId="25" priority="3" operator="containsText" text="End">
      <formula>NOT(ISERROR(SEARCH("End",A1)))</formula>
    </cfRule>
  </conditionalFormatting>
  <conditionalFormatting sqref="A1">
    <cfRule type="containsText" dxfId="24" priority="2" operator="containsText" text="End">
      <formula>NOT(ISERROR(SEARCH("End",A1)))</formula>
    </cfRule>
  </conditionalFormatting>
  <conditionalFormatting sqref="A2:B2">
    <cfRule type="containsText" dxfId="23" priority="1" operator="containsText" text="Please">
      <formula>NOT(ISERROR(SEARCH("Please",A2)))</formula>
    </cfRule>
  </conditionalFormatting>
  <printOptions horizontalCentered="1"/>
  <pageMargins left="0.25" right="0.25" top="0.25" bottom="0.25" header="0" footer="0"/>
  <pageSetup scale="67" orientation="landscape" r:id="rId2"/>
  <headerFooter>
    <oddFooter>&amp;R&amp;Z&amp;F</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pageSetUpPr fitToPage="1"/>
  </sheetPr>
  <dimension ref="A1:N42"/>
  <sheetViews>
    <sheetView showGridLines="0" showRowColHeaders="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customHeight="1"/>
  <cols>
    <col min="1" max="1" width="31.6640625" customWidth="1"/>
    <col min="2" max="10" width="15.6640625" customWidth="1"/>
  </cols>
  <sheetData>
    <row r="1" spans="1:10" s="15" customFormat="1" ht="15" customHeight="1">
      <c r="A1" s="601"/>
      <c r="B1" s="601"/>
      <c r="C1" s="601"/>
    </row>
    <row r="2" spans="1:10" s="15" customFormat="1" ht="15" customHeight="1">
      <c r="A2" s="601"/>
      <c r="B2" s="574"/>
      <c r="F2" s="156" t="s">
        <v>1121</v>
      </c>
    </row>
    <row r="3" spans="1:10" s="15" customFormat="1" ht="15" customHeight="1">
      <c r="A3" s="17" t="s">
        <v>1123</v>
      </c>
      <c r="E3" s="608" t="str">
        <f>CAUTAU!A99</f>
        <v>Menominee Tribe</v>
      </c>
      <c r="F3" s="608"/>
      <c r="G3" s="167" t="str">
        <f>LOOKUP(E3,Allocations!A4:A92,Allocations!B4:B92)</f>
        <v>X</v>
      </c>
    </row>
    <row r="4" spans="1:10" s="15" customFormat="1" ht="15" customHeight="1">
      <c r="A4" s="17" t="s">
        <v>1125</v>
      </c>
      <c r="D4" s="608" t="e">
        <f>LOOKUP(E5,Date,'Addl Info'!B21:B33)</f>
        <v>#N/A</v>
      </c>
      <c r="E4" s="609"/>
      <c r="F4" s="609"/>
      <c r="G4" s="62"/>
    </row>
    <row r="5" spans="1:10" s="15" customFormat="1" ht="15" customHeight="1">
      <c r="A5" s="17" t="s">
        <v>1126</v>
      </c>
      <c r="E5" s="608" t="str">
        <f>CAUTAU!A100</f>
        <v/>
      </c>
      <c r="F5" s="608"/>
      <c r="G5" s="62" t="str">
        <f>IF(OR(E5="October 2018",E5="November 2018",E5="December 2018",E5="Final Submission 2018"),"x","")</f>
        <v/>
      </c>
    </row>
    <row r="6" spans="1:10" s="15" customFormat="1" ht="15" customHeight="1">
      <c r="A6" s="17"/>
      <c r="F6" s="152"/>
    </row>
    <row r="7" spans="1:10" ht="15" customHeight="1">
      <c r="A7" s="560"/>
      <c r="B7" s="561"/>
      <c r="C7" s="561"/>
      <c r="D7" s="561"/>
      <c r="E7" s="561"/>
      <c r="F7" s="561"/>
      <c r="G7" s="561"/>
      <c r="H7" s="561"/>
      <c r="I7" s="561"/>
      <c r="J7" s="561"/>
    </row>
    <row r="8" spans="1:10" s="2" customFormat="1" ht="15" customHeight="1" thickBot="1">
      <c r="A8" s="1"/>
      <c r="B8" s="223" t="s">
        <v>1351</v>
      </c>
      <c r="C8" s="223"/>
      <c r="D8" s="223"/>
      <c r="E8" s="223"/>
      <c r="F8" s="223"/>
      <c r="G8" s="223"/>
      <c r="H8" s="223"/>
      <c r="I8" s="223"/>
      <c r="J8" s="223"/>
    </row>
    <row r="9" spans="1:10" ht="77.099999999999994" customHeight="1" thickTop="1">
      <c r="A9" s="4" t="s">
        <v>1128</v>
      </c>
      <c r="B9" s="6" t="s">
        <v>1352</v>
      </c>
      <c r="C9" s="6" t="s">
        <v>1353</v>
      </c>
      <c r="D9" s="6" t="s">
        <v>1354</v>
      </c>
      <c r="E9" s="6" t="s">
        <v>1355</v>
      </c>
      <c r="F9" s="6" t="s">
        <v>1356</v>
      </c>
      <c r="G9" s="6" t="s">
        <v>1357</v>
      </c>
      <c r="H9" s="354" t="s">
        <v>1358</v>
      </c>
      <c r="I9" s="6" t="s">
        <v>1359</v>
      </c>
      <c r="J9" s="7" t="s">
        <v>1360</v>
      </c>
    </row>
    <row r="10" spans="1:10" ht="12.9" customHeight="1">
      <c r="A10" s="181" t="s">
        <v>1170</v>
      </c>
      <c r="B10" s="329">
        <f>SUM('III-B Other Services'!C10+'SCS Other Services'!C10)</f>
        <v>0</v>
      </c>
      <c r="C10" s="329">
        <f>SUM('III-B Other Services'!D10+'SCS Other Services'!D10)</f>
        <v>0</v>
      </c>
      <c r="D10" s="329">
        <f>SUM('III-B Other Services'!E10+'SCS Other Services'!E10)</f>
        <v>0</v>
      </c>
      <c r="E10" s="329">
        <f>SUM('III-B Other Services'!F10+'SCS Other Services'!F10)</f>
        <v>0</v>
      </c>
      <c r="F10" s="329">
        <f>SUM('III-B Other Services'!G10+'SCS Other Services'!G10)</f>
        <v>0</v>
      </c>
      <c r="G10" s="329">
        <f>SUM('III-B Other Services'!H10+'SCS Other Services'!H10)</f>
        <v>0</v>
      </c>
      <c r="H10" s="329">
        <f>SUM('III-B Other Services'!J10+'SCS Other Services'!J10)</f>
        <v>0</v>
      </c>
      <c r="I10" s="329">
        <f>SUM('III-B Other Services'!L10+'SCS Other Services'!L10)</f>
        <v>0</v>
      </c>
      <c r="J10" s="329">
        <f t="shared" ref="J10:J25" si="0">SUM(B10:I10)</f>
        <v>0</v>
      </c>
    </row>
    <row r="11" spans="1:10" ht="12.9" customHeight="1">
      <c r="A11" s="212" t="s">
        <v>1171</v>
      </c>
      <c r="B11" s="329">
        <f>SUM('III-B Other Services'!C11+'SCS Other Services'!C11)</f>
        <v>0</v>
      </c>
      <c r="C11" s="329">
        <f>SUM('III-B Other Services'!D11+'SCS Other Services'!D11)</f>
        <v>0</v>
      </c>
      <c r="D11" s="329">
        <f>SUM('III-B Other Services'!E11+'SCS Other Services'!E11)</f>
        <v>0</v>
      </c>
      <c r="E11" s="329">
        <f>SUM('III-B Other Services'!F11+'SCS Other Services'!F11)</f>
        <v>0</v>
      </c>
      <c r="F11" s="329">
        <f>SUM('III-B Other Services'!G11+'SCS Other Services'!G11)</f>
        <v>0</v>
      </c>
      <c r="G11" s="329">
        <f>SUM('III-B Other Services'!H11+'SCS Other Services'!H11)</f>
        <v>0</v>
      </c>
      <c r="H11" s="329">
        <f>SUM('III-B Other Services'!J11+'SCS Other Services'!J11)</f>
        <v>0</v>
      </c>
      <c r="I11" s="329">
        <f>SUM('III-B Other Services'!L11+'SCS Other Services'!L11)</f>
        <v>0</v>
      </c>
      <c r="J11" s="329">
        <f t="shared" si="0"/>
        <v>0</v>
      </c>
    </row>
    <row r="12" spans="1:10" ht="12.9" customHeight="1">
      <c r="A12" s="212" t="s">
        <v>1172</v>
      </c>
      <c r="B12" s="329">
        <f>SUM('III-B Other Services'!C12+'SCS Other Services'!C12)</f>
        <v>0</v>
      </c>
      <c r="C12" s="329">
        <f>SUM('III-B Other Services'!D12+'SCS Other Services'!D12)</f>
        <v>0</v>
      </c>
      <c r="D12" s="329">
        <f>SUM('III-B Other Services'!E12+'SCS Other Services'!E12)</f>
        <v>0</v>
      </c>
      <c r="E12" s="329">
        <f>SUM('III-B Other Services'!F12+'SCS Other Services'!F12)</f>
        <v>0</v>
      </c>
      <c r="F12" s="329">
        <f>SUM('III-B Other Services'!G12+'SCS Other Services'!G12)</f>
        <v>0</v>
      </c>
      <c r="G12" s="329">
        <f>SUM('III-B Other Services'!H12+'SCS Other Services'!H12)</f>
        <v>0</v>
      </c>
      <c r="H12" s="329">
        <f>SUM('III-B Other Services'!J12+'SCS Other Services'!J12)</f>
        <v>0</v>
      </c>
      <c r="I12" s="329">
        <f>SUM('III-B Other Services'!L12+'SCS Other Services'!L12)</f>
        <v>0</v>
      </c>
      <c r="J12" s="329">
        <f t="shared" si="0"/>
        <v>0</v>
      </c>
    </row>
    <row r="13" spans="1:10" ht="12.9" customHeight="1">
      <c r="A13" s="181" t="s">
        <v>1173</v>
      </c>
      <c r="B13" s="329">
        <f>SUM('III-B Other Services'!C13+'SCS Other Services'!C13)</f>
        <v>0</v>
      </c>
      <c r="C13" s="329">
        <f>SUM('III-B Other Services'!D13+'SCS Other Services'!D13)</f>
        <v>0</v>
      </c>
      <c r="D13" s="329">
        <f>SUM('III-B Other Services'!E13+'SCS Other Services'!E13)</f>
        <v>0</v>
      </c>
      <c r="E13" s="329">
        <f>SUM('III-B Other Services'!F13+'SCS Other Services'!F13)</f>
        <v>0</v>
      </c>
      <c r="F13" s="329">
        <f>SUM('III-B Other Services'!G13+'SCS Other Services'!G13)</f>
        <v>0</v>
      </c>
      <c r="G13" s="329">
        <f>SUM('III-B Other Services'!H13+'SCS Other Services'!H13)</f>
        <v>0</v>
      </c>
      <c r="H13" s="329">
        <f>SUM('III-B Other Services'!J13+'SCS Other Services'!J13)</f>
        <v>0</v>
      </c>
      <c r="I13" s="329">
        <f>SUM('III-B Other Services'!L13+'SCS Other Services'!L13)</f>
        <v>0</v>
      </c>
      <c r="J13" s="329">
        <f t="shared" si="0"/>
        <v>0</v>
      </c>
    </row>
    <row r="14" spans="1:10" ht="12.9" customHeight="1">
      <c r="A14" s="181" t="s">
        <v>1174</v>
      </c>
      <c r="B14" s="329">
        <f>SUM('III-B Other Services'!C14+'SCS Other Services'!C14)</f>
        <v>0</v>
      </c>
      <c r="C14" s="329">
        <f>SUM('III-B Other Services'!D14+'SCS Other Services'!D14)</f>
        <v>0</v>
      </c>
      <c r="D14" s="329">
        <f>SUM('III-B Other Services'!E14+'SCS Other Services'!E14)</f>
        <v>0</v>
      </c>
      <c r="E14" s="329">
        <f>SUM('III-B Other Services'!F14+'SCS Other Services'!F14)</f>
        <v>0</v>
      </c>
      <c r="F14" s="329">
        <f>SUM('III-B Other Services'!G14+'SCS Other Services'!G14)</f>
        <v>0</v>
      </c>
      <c r="G14" s="329">
        <f>SUM('III-B Other Services'!H14+'SCS Other Services'!H14)</f>
        <v>0</v>
      </c>
      <c r="H14" s="329">
        <f>SUM('III-B Other Services'!J14+'SCS Other Services'!J14)</f>
        <v>0</v>
      </c>
      <c r="I14" s="329">
        <f>SUM('III-B Other Services'!L14+'SCS Other Services'!L14)</f>
        <v>0</v>
      </c>
      <c r="J14" s="329">
        <f t="shared" si="0"/>
        <v>0</v>
      </c>
    </row>
    <row r="15" spans="1:10" ht="12.9" customHeight="1">
      <c r="A15" s="182" t="s">
        <v>1175</v>
      </c>
      <c r="B15" s="329">
        <f>SUM('III-B Other Services'!C15+'SCS Other Services'!C15)</f>
        <v>0</v>
      </c>
      <c r="C15" s="329">
        <f>SUM('III-B Other Services'!D15+'SCS Other Services'!D15)</f>
        <v>0</v>
      </c>
      <c r="D15" s="329">
        <f>SUM('III-B Other Services'!E15+'SCS Other Services'!E15)</f>
        <v>0</v>
      </c>
      <c r="E15" s="329">
        <f>SUM('III-B Other Services'!F15+'SCS Other Services'!F15)</f>
        <v>0</v>
      </c>
      <c r="F15" s="329">
        <f>SUM('III-B Other Services'!G15+'SCS Other Services'!G15)</f>
        <v>0</v>
      </c>
      <c r="G15" s="329">
        <f>SUM('III-B Other Services'!H15+'SCS Other Services'!H15)</f>
        <v>0</v>
      </c>
      <c r="H15" s="329">
        <f>SUM('III-B Other Services'!J15+'SCS Other Services'!J15)</f>
        <v>0</v>
      </c>
      <c r="I15" s="329">
        <f>SUM('III-B Other Services'!L15+'SCS Other Services'!L15)</f>
        <v>0</v>
      </c>
      <c r="J15" s="329">
        <f t="shared" si="0"/>
        <v>0</v>
      </c>
    </row>
    <row r="16" spans="1:10" ht="12.9" customHeight="1">
      <c r="A16" s="212" t="s">
        <v>1176</v>
      </c>
      <c r="B16" s="329">
        <f>SUM('III-B Other Services'!C16+'SCS Other Services'!C16)</f>
        <v>0</v>
      </c>
      <c r="C16" s="329">
        <f>SUM('III-B Other Services'!D16+'SCS Other Services'!D16)</f>
        <v>0</v>
      </c>
      <c r="D16" s="329">
        <f>SUM('III-B Other Services'!E16+'SCS Other Services'!E16)</f>
        <v>0</v>
      </c>
      <c r="E16" s="329">
        <f>SUM('III-B Other Services'!F16+'SCS Other Services'!F16)</f>
        <v>0</v>
      </c>
      <c r="F16" s="329">
        <f>SUM('III-B Other Services'!G16+'SCS Other Services'!G16)</f>
        <v>0</v>
      </c>
      <c r="G16" s="329">
        <f>SUM('III-B Other Services'!H16+'SCS Other Services'!H16)</f>
        <v>0</v>
      </c>
      <c r="H16" s="329">
        <f>SUM('III-B Other Services'!J16+'SCS Other Services'!J16)</f>
        <v>0</v>
      </c>
      <c r="I16" s="329">
        <f>SUM('III-B Other Services'!L16+'SCS Other Services'!L16)</f>
        <v>0</v>
      </c>
      <c r="J16" s="329">
        <f t="shared" si="0"/>
        <v>0</v>
      </c>
    </row>
    <row r="17" spans="1:10" ht="12.9" customHeight="1">
      <c r="A17" s="212" t="s">
        <v>1177</v>
      </c>
      <c r="B17" s="329">
        <f>SUM('III-B Other Services'!C17+'SCS Other Services'!C17)</f>
        <v>0</v>
      </c>
      <c r="C17" s="329">
        <f>SUM('III-B Other Services'!D17+'SCS Other Services'!D17)</f>
        <v>0</v>
      </c>
      <c r="D17" s="329">
        <f>SUM('III-B Other Services'!E17+'SCS Other Services'!E17)</f>
        <v>0</v>
      </c>
      <c r="E17" s="329">
        <f>SUM('III-B Other Services'!F17+'SCS Other Services'!F17)</f>
        <v>0</v>
      </c>
      <c r="F17" s="329">
        <f>SUM('III-B Other Services'!G17+'SCS Other Services'!G17)</f>
        <v>0</v>
      </c>
      <c r="G17" s="329">
        <f>SUM('III-B Other Services'!H17+'SCS Other Services'!H17)</f>
        <v>0</v>
      </c>
      <c r="H17" s="329">
        <f>SUM('III-B Other Services'!J17+'SCS Other Services'!J17)</f>
        <v>0</v>
      </c>
      <c r="I17" s="329">
        <f>SUM('III-B Other Services'!L17+'SCS Other Services'!L17)</f>
        <v>0</v>
      </c>
      <c r="J17" s="329">
        <f t="shared" si="0"/>
        <v>0</v>
      </c>
    </row>
    <row r="18" spans="1:10" ht="12.9" customHeight="1">
      <c r="A18" s="213" t="s">
        <v>1178</v>
      </c>
      <c r="B18" s="329">
        <f>SUM('III-B Other Services'!C18+'SCS Other Services'!C18)</f>
        <v>0</v>
      </c>
      <c r="C18" s="329">
        <f>SUM('III-B Other Services'!D18+'SCS Other Services'!D18)</f>
        <v>0</v>
      </c>
      <c r="D18" s="329">
        <f>SUM('III-B Other Services'!E18+'SCS Other Services'!E18)</f>
        <v>0</v>
      </c>
      <c r="E18" s="329">
        <f>SUM('III-B Other Services'!F18+'SCS Other Services'!F18)</f>
        <v>0</v>
      </c>
      <c r="F18" s="329">
        <f>SUM('III-B Other Services'!G18+'SCS Other Services'!G18)</f>
        <v>0</v>
      </c>
      <c r="G18" s="329">
        <f>SUM('III-B Other Services'!H18+'SCS Other Services'!H18)</f>
        <v>0</v>
      </c>
      <c r="H18" s="329">
        <f>SUM('III-B Other Services'!J18+'SCS Other Services'!J18)</f>
        <v>0</v>
      </c>
      <c r="I18" s="329">
        <f>SUM('III-B Other Services'!L18+'SCS Other Services'!L18)</f>
        <v>0</v>
      </c>
      <c r="J18" s="329">
        <f t="shared" si="0"/>
        <v>0</v>
      </c>
    </row>
    <row r="19" spans="1:10" ht="12.9" customHeight="1">
      <c r="A19" s="212" t="s">
        <v>1179</v>
      </c>
      <c r="B19" s="329">
        <f>SUM('III-B Other Services'!C19+'SCS Other Services'!C19)</f>
        <v>0</v>
      </c>
      <c r="C19" s="329">
        <f>SUM('III-B Other Services'!D19+'SCS Other Services'!D19)</f>
        <v>0</v>
      </c>
      <c r="D19" s="329">
        <f>SUM('III-B Other Services'!E19+'SCS Other Services'!E19)</f>
        <v>0</v>
      </c>
      <c r="E19" s="329">
        <f>SUM('III-B Other Services'!F19+'SCS Other Services'!F19)</f>
        <v>0</v>
      </c>
      <c r="F19" s="329">
        <f>SUM('III-B Other Services'!G19+'SCS Other Services'!G19)</f>
        <v>0</v>
      </c>
      <c r="G19" s="329">
        <f>SUM('III-B Other Services'!H19+'SCS Other Services'!H19)</f>
        <v>0</v>
      </c>
      <c r="H19" s="329">
        <f>SUM('III-B Other Services'!J19+'SCS Other Services'!J19)</f>
        <v>0</v>
      </c>
      <c r="I19" s="329">
        <f>SUM('III-B Other Services'!L19+'SCS Other Services'!L19)</f>
        <v>0</v>
      </c>
      <c r="J19" s="329">
        <f t="shared" si="0"/>
        <v>0</v>
      </c>
    </row>
    <row r="20" spans="1:10" ht="12.9" customHeight="1">
      <c r="A20" s="212" t="s">
        <v>1180</v>
      </c>
      <c r="B20" s="329">
        <f>SUM('III-B Other Services'!C20+'SCS Other Services'!C20)</f>
        <v>0</v>
      </c>
      <c r="C20" s="329">
        <f>SUM('III-B Other Services'!D20+'SCS Other Services'!D20)</f>
        <v>0</v>
      </c>
      <c r="D20" s="329">
        <f>SUM('III-B Other Services'!E20+'SCS Other Services'!E20)</f>
        <v>0</v>
      </c>
      <c r="E20" s="329">
        <f>SUM('III-B Other Services'!F20+'SCS Other Services'!F20)</f>
        <v>0</v>
      </c>
      <c r="F20" s="329">
        <f>SUM('III-B Other Services'!G20+'SCS Other Services'!G20)</f>
        <v>0</v>
      </c>
      <c r="G20" s="329">
        <f>SUM('III-B Other Services'!H20+'SCS Other Services'!H20)</f>
        <v>0</v>
      </c>
      <c r="H20" s="329">
        <f>SUM('III-B Other Services'!J20+'SCS Other Services'!J20)</f>
        <v>0</v>
      </c>
      <c r="I20" s="329">
        <f>SUM('III-B Other Services'!L20+'SCS Other Services'!L20)</f>
        <v>0</v>
      </c>
      <c r="J20" s="329">
        <f t="shared" si="0"/>
        <v>0</v>
      </c>
    </row>
    <row r="21" spans="1:10" ht="12.9" customHeight="1">
      <c r="A21" s="181" t="s">
        <v>1181</v>
      </c>
      <c r="B21" s="329">
        <f>SUM('III-B Other Services'!C21+'SCS Other Services'!C21)</f>
        <v>0</v>
      </c>
      <c r="C21" s="329">
        <f>SUM('III-B Other Services'!D21+'SCS Other Services'!D21)</f>
        <v>0</v>
      </c>
      <c r="D21" s="329">
        <f>SUM('III-B Other Services'!E21+'SCS Other Services'!E21)</f>
        <v>0</v>
      </c>
      <c r="E21" s="329">
        <f>SUM('III-B Other Services'!F21+'SCS Other Services'!F21)</f>
        <v>0</v>
      </c>
      <c r="F21" s="329">
        <f>SUM('III-B Other Services'!G21+'SCS Other Services'!G21)</f>
        <v>0</v>
      </c>
      <c r="G21" s="329">
        <f>SUM('III-B Other Services'!H21+'SCS Other Services'!H21)</f>
        <v>0</v>
      </c>
      <c r="H21" s="329">
        <f>SUM('III-B Other Services'!J21+'SCS Other Services'!J21)</f>
        <v>0</v>
      </c>
      <c r="I21" s="329">
        <f>SUM('III-B Other Services'!L21+'SCS Other Services'!L21)</f>
        <v>0</v>
      </c>
      <c r="J21" s="329">
        <f t="shared" si="0"/>
        <v>0</v>
      </c>
    </row>
    <row r="22" spans="1:10" ht="12.9" customHeight="1">
      <c r="A22" s="212" t="s">
        <v>1182</v>
      </c>
      <c r="B22" s="329">
        <f>SUM('III-B Other Services'!C22+'SCS Other Services'!C22)</f>
        <v>0</v>
      </c>
      <c r="C22" s="329">
        <f>SUM('III-B Other Services'!D22+'SCS Other Services'!D22)</f>
        <v>0</v>
      </c>
      <c r="D22" s="329">
        <f>SUM('III-B Other Services'!E22+'SCS Other Services'!E22)</f>
        <v>0</v>
      </c>
      <c r="E22" s="329">
        <f>SUM('III-B Other Services'!F22+'SCS Other Services'!F22)</f>
        <v>0</v>
      </c>
      <c r="F22" s="329">
        <f>SUM('III-B Other Services'!G22+'SCS Other Services'!G22)</f>
        <v>0</v>
      </c>
      <c r="G22" s="329">
        <f>SUM('III-B Other Services'!H22+'SCS Other Services'!H22)</f>
        <v>0</v>
      </c>
      <c r="H22" s="329">
        <f>SUM('III-B Other Services'!J22+'SCS Other Services'!J22)</f>
        <v>0</v>
      </c>
      <c r="I22" s="329">
        <f>SUM('III-B Other Services'!L22+'SCS Other Services'!L22)</f>
        <v>0</v>
      </c>
      <c r="J22" s="329">
        <f t="shared" si="0"/>
        <v>0</v>
      </c>
    </row>
    <row r="23" spans="1:10" ht="12.9" customHeight="1">
      <c r="A23" s="212" t="s">
        <v>1183</v>
      </c>
      <c r="B23" s="329">
        <f>SUM('III-B Other Services'!C23+'SCS Other Services'!C23)</f>
        <v>0</v>
      </c>
      <c r="C23" s="329">
        <f>SUM('III-B Other Services'!D23+'SCS Other Services'!D23)</f>
        <v>0</v>
      </c>
      <c r="D23" s="329">
        <f>SUM('III-B Other Services'!E23+'SCS Other Services'!E23)</f>
        <v>0</v>
      </c>
      <c r="E23" s="329">
        <f>SUM('III-B Other Services'!F23+'SCS Other Services'!F23)</f>
        <v>0</v>
      </c>
      <c r="F23" s="329">
        <f>SUM('III-B Other Services'!G23+'SCS Other Services'!G23)</f>
        <v>0</v>
      </c>
      <c r="G23" s="329">
        <f>SUM('III-B Other Services'!H23+'SCS Other Services'!H23)</f>
        <v>0</v>
      </c>
      <c r="H23" s="329">
        <f>SUM('III-B Other Services'!J23+'SCS Other Services'!J23)</f>
        <v>0</v>
      </c>
      <c r="I23" s="329">
        <f>SUM('III-B Other Services'!L23+'SCS Other Services'!L23)</f>
        <v>0</v>
      </c>
      <c r="J23" s="329">
        <f t="shared" si="0"/>
        <v>0</v>
      </c>
    </row>
    <row r="24" spans="1:10" ht="12.9" customHeight="1">
      <c r="A24" s="212" t="s">
        <v>1184</v>
      </c>
      <c r="B24" s="329">
        <f>SUM('III-B Other Services'!C24+'SCS Other Services'!C24)</f>
        <v>0</v>
      </c>
      <c r="C24" s="329">
        <f>SUM('III-B Other Services'!D24+'SCS Other Services'!D24)</f>
        <v>0</v>
      </c>
      <c r="D24" s="329">
        <f>SUM('III-B Other Services'!E24+'SCS Other Services'!E24)</f>
        <v>0</v>
      </c>
      <c r="E24" s="329">
        <f>SUM('III-B Other Services'!F24+'SCS Other Services'!F24)</f>
        <v>0</v>
      </c>
      <c r="F24" s="329">
        <f>SUM('III-B Other Services'!G24+'SCS Other Services'!G24)</f>
        <v>0</v>
      </c>
      <c r="G24" s="329">
        <f>SUM('III-B Other Services'!H24+'SCS Other Services'!H24)</f>
        <v>0</v>
      </c>
      <c r="H24" s="329">
        <f>SUM('III-B Other Services'!J24+'SCS Other Services'!J24)</f>
        <v>0</v>
      </c>
      <c r="I24" s="329">
        <f>SUM('III-B Other Services'!L24+'SCS Other Services'!L24)</f>
        <v>0</v>
      </c>
      <c r="J24" s="329">
        <f t="shared" si="0"/>
        <v>0</v>
      </c>
    </row>
    <row r="25" spans="1:10" ht="12.9" customHeight="1">
      <c r="A25" s="212" t="s">
        <v>1185</v>
      </c>
      <c r="B25" s="329">
        <f>SUM('III-B Other Services'!C25+'SCS Other Services'!C25)</f>
        <v>0</v>
      </c>
      <c r="C25" s="329">
        <f>SUM('III-B Other Services'!D25+'SCS Other Services'!D25)</f>
        <v>0</v>
      </c>
      <c r="D25" s="329">
        <f>SUM('III-B Other Services'!E25+'SCS Other Services'!E25)</f>
        <v>0</v>
      </c>
      <c r="E25" s="329">
        <f>SUM('III-B Other Services'!F25+'SCS Other Services'!F25)</f>
        <v>0</v>
      </c>
      <c r="F25" s="329">
        <f>SUM('III-B Other Services'!G25+'SCS Other Services'!G25)</f>
        <v>0</v>
      </c>
      <c r="G25" s="329">
        <f>SUM('III-B Other Services'!H25+'SCS Other Services'!H25)</f>
        <v>0</v>
      </c>
      <c r="H25" s="329">
        <f>SUM('III-B Other Services'!J25+'SCS Other Services'!J25)</f>
        <v>0</v>
      </c>
      <c r="I25" s="329">
        <f>SUM('III-B Other Services'!L25+'SCS Other Services'!L25)</f>
        <v>0</v>
      </c>
      <c r="J25" s="329">
        <f t="shared" si="0"/>
        <v>0</v>
      </c>
    </row>
    <row r="26" spans="1:10" ht="12.9" customHeight="1">
      <c r="A26" s="230"/>
      <c r="B26" s="323"/>
      <c r="C26" s="323"/>
      <c r="D26" s="323"/>
      <c r="E26" s="323"/>
      <c r="F26" s="323"/>
      <c r="G26" s="323"/>
      <c r="H26" s="323"/>
      <c r="I26" s="323"/>
      <c r="J26" s="323"/>
    </row>
    <row r="27" spans="1:10" ht="12.9" customHeight="1">
      <c r="A27" s="230"/>
      <c r="B27" s="323"/>
      <c r="C27" s="323"/>
      <c r="D27" s="323"/>
      <c r="E27" s="323"/>
      <c r="F27" s="323"/>
      <c r="G27" s="323"/>
      <c r="H27" s="323"/>
      <c r="I27" s="323"/>
      <c r="J27" s="323"/>
    </row>
    <row r="28" spans="1:10" ht="12.9" customHeight="1">
      <c r="A28" s="230"/>
      <c r="B28" s="323"/>
      <c r="C28" s="323"/>
      <c r="D28" s="323"/>
      <c r="E28" s="323"/>
      <c r="F28" s="323"/>
      <c r="G28" s="323"/>
      <c r="H28" s="323"/>
      <c r="I28" s="323"/>
      <c r="J28" s="323"/>
    </row>
    <row r="29" spans="1:10" ht="12.9" customHeight="1">
      <c r="A29" s="230"/>
      <c r="B29" s="323"/>
      <c r="C29" s="323"/>
      <c r="D29" s="323"/>
      <c r="E29" s="323"/>
      <c r="F29" s="323"/>
      <c r="G29" s="323"/>
      <c r="H29" s="323"/>
      <c r="I29" s="323"/>
      <c r="J29" s="323"/>
    </row>
    <row r="30" spans="1:10" ht="12.9" customHeight="1">
      <c r="A30" s="230"/>
      <c r="B30" s="323"/>
      <c r="C30" s="323"/>
      <c r="D30" s="323"/>
      <c r="E30" s="323"/>
      <c r="F30" s="323"/>
      <c r="G30" s="323"/>
      <c r="H30" s="323"/>
      <c r="I30" s="323"/>
      <c r="J30" s="323"/>
    </row>
    <row r="31" spans="1:10" ht="12.9" customHeight="1">
      <c r="A31" s="230"/>
      <c r="B31" s="323"/>
      <c r="C31" s="323"/>
      <c r="D31" s="323"/>
      <c r="E31" s="323"/>
      <c r="F31" s="323"/>
      <c r="G31" s="323"/>
      <c r="H31" s="323"/>
      <c r="I31" s="323"/>
      <c r="J31" s="323"/>
    </row>
    <row r="32" spans="1:10" ht="12.9" customHeight="1">
      <c r="A32" s="230"/>
      <c r="B32" s="323"/>
      <c r="C32" s="323"/>
      <c r="D32" s="323"/>
      <c r="E32" s="323"/>
      <c r="F32" s="323"/>
      <c r="G32" s="323"/>
      <c r="H32" s="323"/>
      <c r="I32" s="323"/>
      <c r="J32" s="323"/>
    </row>
    <row r="33" spans="1:14" ht="12.9" customHeight="1">
      <c r="A33" s="230"/>
      <c r="B33" s="323"/>
      <c r="C33" s="323"/>
      <c r="D33" s="323"/>
      <c r="E33" s="323"/>
      <c r="F33" s="323"/>
      <c r="G33" s="323"/>
      <c r="H33" s="323"/>
      <c r="I33" s="323"/>
      <c r="J33" s="323"/>
      <c r="K33" s="397"/>
      <c r="L33" s="397"/>
      <c r="M33" s="397"/>
      <c r="N33" s="397"/>
    </row>
    <row r="34" spans="1:14" ht="12.9" customHeight="1">
      <c r="A34" s="230"/>
      <c r="B34" s="323"/>
      <c r="C34" s="323"/>
      <c r="D34" s="323"/>
      <c r="E34" s="323"/>
      <c r="F34" s="323"/>
      <c r="G34" s="323"/>
      <c r="H34" s="323"/>
      <c r="I34" s="323"/>
      <c r="J34" s="323"/>
      <c r="K34" s="397"/>
      <c r="L34" s="397"/>
      <c r="M34" s="397"/>
      <c r="N34" s="397"/>
    </row>
    <row r="35" spans="1:14" ht="12.9" customHeight="1" thickBot="1">
      <c r="A35" s="9" t="s">
        <v>210</v>
      </c>
      <c r="B35" s="338">
        <f>SUM(B10:B34)-B17</f>
        <v>0</v>
      </c>
      <c r="C35" s="338">
        <f t="shared" ref="C35:I35" si="1">SUM(C10:C34)-C17</f>
        <v>0</v>
      </c>
      <c r="D35" s="338">
        <f t="shared" si="1"/>
        <v>0</v>
      </c>
      <c r="E35" s="338">
        <f t="shared" si="1"/>
        <v>0</v>
      </c>
      <c r="F35" s="338">
        <f t="shared" si="1"/>
        <v>0</v>
      </c>
      <c r="G35" s="338">
        <f t="shared" si="1"/>
        <v>0</v>
      </c>
      <c r="H35" s="338">
        <f t="shared" si="1"/>
        <v>0</v>
      </c>
      <c r="I35" s="338">
        <f t="shared" si="1"/>
        <v>0</v>
      </c>
      <c r="J35" s="565">
        <f t="shared" ref="J35" si="2">SUM(B35:I35)</f>
        <v>0</v>
      </c>
      <c r="K35" s="397"/>
      <c r="L35" s="397"/>
      <c r="M35" s="397"/>
      <c r="N35" s="397"/>
    </row>
    <row r="36" spans="1:14" s="15" customFormat="1" ht="12.9" customHeight="1" thickTop="1">
      <c r="A36" s="17" t="str">
        <f>IF(M36="x","Enter in whole dollars.","")</f>
        <v/>
      </c>
      <c r="B36" s="171" t="str">
        <f>IF(MOD(B34,1)=0,"","Error")</f>
        <v/>
      </c>
      <c r="C36" s="171" t="str">
        <f t="shared" ref="C36:L36" si="3">IF(MOD(C34,1)=0,"","Error")</f>
        <v/>
      </c>
      <c r="D36" s="171" t="str">
        <f t="shared" si="3"/>
        <v/>
      </c>
      <c r="E36" s="171" t="str">
        <f t="shared" si="3"/>
        <v/>
      </c>
      <c r="F36" s="171" t="str">
        <f t="shared" si="3"/>
        <v/>
      </c>
      <c r="G36" s="171" t="str">
        <f t="shared" si="3"/>
        <v/>
      </c>
      <c r="H36" s="171" t="str">
        <f t="shared" si="3"/>
        <v/>
      </c>
      <c r="I36" s="171" t="str">
        <f t="shared" si="3"/>
        <v/>
      </c>
      <c r="J36" s="171" t="str">
        <f t="shared" si="3"/>
        <v/>
      </c>
      <c r="K36" s="171" t="str">
        <f t="shared" si="3"/>
        <v/>
      </c>
      <c r="L36" s="171" t="str">
        <f t="shared" si="3"/>
        <v/>
      </c>
      <c r="M36" s="226" t="str">
        <f>IF(ISERROR(MATCH("error",B36:L36,0)),"","x")</f>
        <v/>
      </c>
      <c r="N36" s="226" t="str">
        <f>IF(ISERROR(MATCH("x",N10:N35,0)),"","x")</f>
        <v/>
      </c>
    </row>
    <row r="37" spans="1:14" s="15" customFormat="1" ht="12.9" customHeight="1">
      <c r="B37" s="225">
        <f>IFERROR(B35,"x")</f>
        <v>0</v>
      </c>
      <c r="C37" s="225">
        <f t="shared" ref="C37:L37" si="4">IFERROR(C35,"x")</f>
        <v>0</v>
      </c>
      <c r="D37" s="225">
        <f t="shared" si="4"/>
        <v>0</v>
      </c>
      <c r="E37" s="225">
        <f t="shared" si="4"/>
        <v>0</v>
      </c>
      <c r="F37" s="225">
        <f t="shared" si="4"/>
        <v>0</v>
      </c>
      <c r="G37" s="225">
        <f t="shared" si="4"/>
        <v>0</v>
      </c>
      <c r="H37" s="225">
        <f t="shared" si="4"/>
        <v>0</v>
      </c>
      <c r="I37" s="225">
        <f t="shared" si="4"/>
        <v>0</v>
      </c>
      <c r="J37" s="225">
        <f t="shared" si="4"/>
        <v>0</v>
      </c>
      <c r="K37" s="225">
        <f t="shared" si="4"/>
        <v>0</v>
      </c>
      <c r="L37" s="225">
        <f t="shared" si="4"/>
        <v>0</v>
      </c>
      <c r="N37" s="226" t="str">
        <f>IF(ISERROR(MATCH("x",B37:L37,0)),"","x")</f>
        <v/>
      </c>
    </row>
    <row r="38" spans="1:14" ht="12.9" customHeight="1" thickBot="1">
      <c r="A38" s="613"/>
      <c r="B38" s="614"/>
      <c r="C38" s="614"/>
      <c r="D38" s="614"/>
      <c r="E38" s="614"/>
      <c r="F38" s="614"/>
      <c r="G38" s="614"/>
      <c r="H38" s="12"/>
      <c r="I38" s="12"/>
      <c r="J38" s="12"/>
      <c r="K38" s="397"/>
      <c r="L38" s="397"/>
      <c r="M38" s="397"/>
      <c r="N38" s="397"/>
    </row>
    <row r="39" spans="1:14" ht="12.9" customHeight="1" thickBot="1">
      <c r="A39" s="348" t="s">
        <v>1187</v>
      </c>
      <c r="B39" s="352">
        <f>SUM(B10:B30)</f>
        <v>0</v>
      </c>
      <c r="C39" s="352">
        <f t="shared" ref="C39:J39" si="5">SUM(C10:C30)</f>
        <v>0</v>
      </c>
      <c r="D39" s="352">
        <f t="shared" si="5"/>
        <v>0</v>
      </c>
      <c r="E39" s="352">
        <f t="shared" si="5"/>
        <v>0</v>
      </c>
      <c r="F39" s="352">
        <f t="shared" si="5"/>
        <v>0</v>
      </c>
      <c r="G39" s="352">
        <f t="shared" si="5"/>
        <v>0</v>
      </c>
      <c r="H39" s="352">
        <f t="shared" si="5"/>
        <v>0</v>
      </c>
      <c r="I39" s="352">
        <f t="shared" si="5"/>
        <v>0</v>
      </c>
      <c r="J39" s="352">
        <f t="shared" si="5"/>
        <v>0</v>
      </c>
      <c r="K39" s="397"/>
      <c r="L39" s="397"/>
      <c r="M39" s="397"/>
      <c r="N39" s="397"/>
    </row>
    <row r="40" spans="1:14" ht="12.9" customHeight="1">
      <c r="A40" s="214" t="s">
        <v>1348</v>
      </c>
      <c r="B40" s="147"/>
      <c r="C40" s="12"/>
      <c r="D40" s="12"/>
      <c r="E40" s="12"/>
      <c r="F40" s="12"/>
      <c r="G40" s="12"/>
      <c r="H40" s="12"/>
      <c r="I40" s="397"/>
      <c r="J40" s="397"/>
      <c r="K40" s="397"/>
      <c r="L40" s="397"/>
      <c r="M40" s="397"/>
      <c r="N40" s="397"/>
    </row>
    <row r="41" spans="1:14" ht="12.9" customHeight="1">
      <c r="A41" s="397"/>
      <c r="B41" s="15"/>
      <c r="C41" s="15"/>
      <c r="D41" s="397"/>
      <c r="E41" s="397"/>
      <c r="F41" s="15"/>
      <c r="G41" s="15"/>
      <c r="H41" s="397"/>
      <c r="I41" s="397"/>
      <c r="J41" s="397"/>
      <c r="K41" s="397"/>
      <c r="L41" s="397"/>
      <c r="M41" s="397"/>
      <c r="N41" s="397"/>
    </row>
    <row r="42" spans="1:14" ht="12.9" customHeight="1">
      <c r="A42" s="397"/>
      <c r="B42" s="15"/>
      <c r="C42" s="15"/>
      <c r="D42" s="397"/>
      <c r="E42" s="397"/>
      <c r="F42" s="15"/>
      <c r="G42" s="15"/>
      <c r="H42" s="397"/>
      <c r="I42" s="397"/>
      <c r="J42" s="397"/>
      <c r="K42" s="397"/>
      <c r="L42" s="397"/>
      <c r="M42" s="397"/>
      <c r="N42" s="397"/>
    </row>
  </sheetData>
  <sheetProtection password="C3C4" sheet="1" objects="1" scenarios="1"/>
  <dataConsolidate>
    <dataRefs count="2">
      <dataRef name="$C$13:'SHIP'!$C$13"/>
      <dataRef ref="C13" sheet="III-B - #11618" r:id="rId1"/>
    </dataRefs>
  </dataConsolidate>
  <mergeCells count="6">
    <mergeCell ref="A38:G38"/>
    <mergeCell ref="A1:C1"/>
    <mergeCell ref="A2:B2"/>
    <mergeCell ref="E3:F3"/>
    <mergeCell ref="D4:F4"/>
    <mergeCell ref="E5:F5"/>
  </mergeCells>
  <conditionalFormatting sqref="G3">
    <cfRule type="containsText" dxfId="22" priority="21" stopIfTrue="1" operator="containsText" text="Not Ok">
      <formula>NOT(ISERROR(SEARCH("Not Ok",G3)))</formula>
    </cfRule>
    <cfRule type="containsText" dxfId="21" priority="22" stopIfTrue="1" operator="containsText" text="Not Ok">
      <formula>NOT(ISERROR(SEARCH("Not Ok",G3)))</formula>
    </cfRule>
  </conditionalFormatting>
  <conditionalFormatting sqref="G3">
    <cfRule type="containsText" dxfId="20" priority="20" stopIfTrue="1" operator="containsText" text="Not Ok">
      <formula>NOT(ISERROR(SEARCH("Not Ok",G3)))</formula>
    </cfRule>
  </conditionalFormatting>
  <conditionalFormatting sqref="A1">
    <cfRule type="containsText" dxfId="19" priority="19" operator="containsText" text="End">
      <formula>NOT(ISERROR(SEARCH("End",A1)))</formula>
    </cfRule>
  </conditionalFormatting>
  <conditionalFormatting sqref="A1">
    <cfRule type="containsText" dxfId="18" priority="18" operator="containsText" text="End">
      <formula>NOT(ISERROR(SEARCH("End",A1)))</formula>
    </cfRule>
  </conditionalFormatting>
  <conditionalFormatting sqref="A2:B2">
    <cfRule type="containsText" dxfId="17" priority="17" operator="containsText" text="Please">
      <formula>NOT(ISERROR(SEARCH("Please",A2)))</formula>
    </cfRule>
  </conditionalFormatting>
  <conditionalFormatting sqref="A38">
    <cfRule type="containsText" dxfId="16" priority="15" stopIfTrue="1" operator="containsText" text="Not Ok">
      <formula>NOT(ISERROR(SEARCH("Not Ok",A38)))</formula>
    </cfRule>
    <cfRule type="containsText" dxfId="15" priority="16" stopIfTrue="1" operator="containsText" text="Not Ok">
      <formula>NOT(ISERROR(SEARCH("Not Ok",A38)))</formula>
    </cfRule>
  </conditionalFormatting>
  <conditionalFormatting sqref="A38:F38">
    <cfRule type="containsText" dxfId="14" priority="14" stopIfTrue="1" operator="containsText" text="Not Ok">
      <formula>NOT(ISERROR(SEARCH("Not Ok",A38)))</formula>
    </cfRule>
  </conditionalFormatting>
  <conditionalFormatting sqref="B40">
    <cfRule type="cellIs" dxfId="13" priority="12" stopIfTrue="1" operator="equal">
      <formula>"You cannot claim against this contract until all prior year program income has been expended."</formula>
    </cfRule>
  </conditionalFormatting>
  <conditionalFormatting sqref="C41">
    <cfRule type="cellIs" dxfId="12" priority="13" stopIfTrue="1" operator="equal">
      <formula>"You are over budget on expenditures."</formula>
    </cfRule>
  </conditionalFormatting>
  <conditionalFormatting sqref="C41">
    <cfRule type="cellIs" dxfId="11" priority="11" stopIfTrue="1" operator="equal">
      <formula>"You are over budget on expenditures."</formula>
    </cfRule>
  </conditionalFormatting>
  <conditionalFormatting sqref="C41">
    <cfRule type="cellIs" dxfId="10" priority="10" stopIfTrue="1" operator="equal">
      <formula>"You are over budget on expenditures."</formula>
    </cfRule>
  </conditionalFormatting>
  <conditionalFormatting sqref="C41">
    <cfRule type="cellIs" dxfId="9" priority="9" stopIfTrue="1" operator="equal">
      <formula>"You are over budget on expenditures."</formula>
    </cfRule>
  </conditionalFormatting>
  <conditionalFormatting sqref="C41">
    <cfRule type="cellIs" dxfId="8" priority="8" stopIfTrue="1" operator="equal">
      <formula>"You are over budget on expenditures."</formula>
    </cfRule>
  </conditionalFormatting>
  <conditionalFormatting sqref="C41">
    <cfRule type="cellIs" dxfId="7" priority="7" stopIfTrue="1" operator="equal">
      <formula>"You are over budget on expenditures."</formula>
    </cfRule>
  </conditionalFormatting>
  <conditionalFormatting sqref="C41">
    <cfRule type="cellIs" dxfId="6" priority="6" stopIfTrue="1" operator="equal">
      <formula>"You are over budget on expenditures."</formula>
    </cfRule>
  </conditionalFormatting>
  <conditionalFormatting sqref="C41">
    <cfRule type="cellIs" dxfId="5" priority="5" stopIfTrue="1" operator="equal">
      <formula>"You are over budget on expenditures."</formula>
    </cfRule>
  </conditionalFormatting>
  <conditionalFormatting sqref="C41">
    <cfRule type="cellIs" dxfId="4" priority="4" stopIfTrue="1" operator="equal">
      <formula>"You are over budget on expenditures."</formula>
    </cfRule>
  </conditionalFormatting>
  <conditionalFormatting sqref="B39:B40 C39:J39">
    <cfRule type="cellIs" dxfId="3" priority="3" stopIfTrue="1" operator="equal">
      <formula>"You cannot claim against this contract until all prior year program income has been expended."</formula>
    </cfRule>
  </conditionalFormatting>
  <conditionalFormatting sqref="B36:L36">
    <cfRule type="containsText" dxfId="2" priority="2" operator="containsText" text="Error">
      <formula>NOT(ISERROR(SEARCH("Error",B36)))</formula>
    </cfRule>
  </conditionalFormatting>
  <conditionalFormatting sqref="A36">
    <cfRule type="containsText" dxfId="1" priority="1" operator="containsText" text="Enter">
      <formula>NOT(ISERROR(SEARCH("Enter",A36)))</formula>
    </cfRule>
  </conditionalFormatting>
  <printOptions horizontalCentered="1"/>
  <pageMargins left="0.25" right="0.25" top="0.25" bottom="0.25" header="0" footer="0"/>
  <pageSetup scale="67" orientation="landscape" r:id="rId2"/>
  <headerFooter>
    <oddFooter>&amp;R&amp;Z&amp;F</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sheetPr>
  <dimension ref="A1:L44"/>
  <sheetViews>
    <sheetView workbookViewId="0">
      <pane xSplit="1" ySplit="14" topLeftCell="E15" activePane="bottomRight" state="frozen"/>
      <selection pane="topRight" activeCell="B1" sqref="B1"/>
      <selection pane="bottomLeft" activeCell="A15" sqref="A15"/>
      <selection pane="bottomRight" activeCell="I26" sqref="I26"/>
    </sheetView>
  </sheetViews>
  <sheetFormatPr defaultRowHeight="13.2"/>
  <cols>
    <col min="1" max="1" width="38.6640625" style="15" customWidth="1"/>
    <col min="2" max="2" width="16" style="15" customWidth="1"/>
    <col min="3" max="3" width="14" style="15" bestFit="1" customWidth="1"/>
    <col min="4" max="4" width="15.44140625" style="15" bestFit="1" customWidth="1"/>
    <col min="5" max="5" width="16.33203125" style="15" customWidth="1"/>
    <col min="6" max="7" width="14" style="15" bestFit="1" customWidth="1"/>
    <col min="8" max="8" width="17.33203125" style="15" bestFit="1" customWidth="1"/>
    <col min="9" max="9" width="13.109375" style="15" bestFit="1" customWidth="1"/>
    <col min="10" max="10" width="15.44140625" style="15" customWidth="1"/>
    <col min="11" max="11" width="14.33203125" style="15" bestFit="1" customWidth="1"/>
    <col min="12" max="12" width="14" style="15" bestFit="1" customWidth="1"/>
    <col min="13" max="256" width="9.109375" style="15"/>
    <col min="257" max="257" width="38.6640625" style="15" customWidth="1"/>
    <col min="258" max="258" width="16" style="15" customWidth="1"/>
    <col min="259" max="259" width="14" style="15" bestFit="1" customWidth="1"/>
    <col min="260" max="260" width="15.44140625" style="15" bestFit="1" customWidth="1"/>
    <col min="261" max="261" width="16.33203125" style="15" customWidth="1"/>
    <col min="262" max="263" width="14" style="15" bestFit="1" customWidth="1"/>
    <col min="264" max="264" width="15.6640625" style="15" customWidth="1"/>
    <col min="265" max="265" width="13.109375" style="15" bestFit="1" customWidth="1"/>
    <col min="266" max="266" width="15.44140625" style="15" customWidth="1"/>
    <col min="267" max="267" width="14.33203125" style="15" bestFit="1" customWidth="1"/>
    <col min="268" max="268" width="14" style="15" bestFit="1" customWidth="1"/>
    <col min="269" max="512" width="9.109375" style="15"/>
    <col min="513" max="513" width="38.6640625" style="15" customWidth="1"/>
    <col min="514" max="514" width="16" style="15" customWidth="1"/>
    <col min="515" max="515" width="14" style="15" bestFit="1" customWidth="1"/>
    <col min="516" max="516" width="15.44140625" style="15" bestFit="1" customWidth="1"/>
    <col min="517" max="517" width="16.33203125" style="15" customWidth="1"/>
    <col min="518" max="519" width="14" style="15" bestFit="1" customWidth="1"/>
    <col min="520" max="520" width="15.6640625" style="15" customWidth="1"/>
    <col min="521" max="521" width="13.109375" style="15" bestFit="1" customWidth="1"/>
    <col min="522" max="522" width="15.44140625" style="15" customWidth="1"/>
    <col min="523" max="523" width="14.33203125" style="15" bestFit="1" customWidth="1"/>
    <col min="524" max="524" width="14" style="15" bestFit="1" customWidth="1"/>
    <col min="525" max="768" width="9.109375" style="15"/>
    <col min="769" max="769" width="38.6640625" style="15" customWidth="1"/>
    <col min="770" max="770" width="16" style="15" customWidth="1"/>
    <col min="771" max="771" width="14" style="15" bestFit="1" customWidth="1"/>
    <col min="772" max="772" width="15.44140625" style="15" bestFit="1" customWidth="1"/>
    <col min="773" max="773" width="16.33203125" style="15" customWidth="1"/>
    <col min="774" max="775" width="14" style="15" bestFit="1" customWidth="1"/>
    <col min="776" max="776" width="15.6640625" style="15" customWidth="1"/>
    <col min="777" max="777" width="13.109375" style="15" bestFit="1" customWidth="1"/>
    <col min="778" max="778" width="15.44140625" style="15" customWidth="1"/>
    <col min="779" max="779" width="14.33203125" style="15" bestFit="1" customWidth="1"/>
    <col min="780" max="780" width="14" style="15" bestFit="1" customWidth="1"/>
    <col min="781" max="1024" width="9.109375" style="15"/>
    <col min="1025" max="1025" width="38.6640625" style="15" customWidth="1"/>
    <col min="1026" max="1026" width="16" style="15" customWidth="1"/>
    <col min="1027" max="1027" width="14" style="15" bestFit="1" customWidth="1"/>
    <col min="1028" max="1028" width="15.44140625" style="15" bestFit="1" customWidth="1"/>
    <col min="1029" max="1029" width="16.33203125" style="15" customWidth="1"/>
    <col min="1030" max="1031" width="14" style="15" bestFit="1" customWidth="1"/>
    <col min="1032" max="1032" width="15.6640625" style="15" customWidth="1"/>
    <col min="1033" max="1033" width="13.109375" style="15" bestFit="1" customWidth="1"/>
    <col min="1034" max="1034" width="15.44140625" style="15" customWidth="1"/>
    <col min="1035" max="1035" width="14.33203125" style="15" bestFit="1" customWidth="1"/>
    <col min="1036" max="1036" width="14" style="15" bestFit="1" customWidth="1"/>
    <col min="1037" max="1280" width="9.109375" style="15"/>
    <col min="1281" max="1281" width="38.6640625" style="15" customWidth="1"/>
    <col min="1282" max="1282" width="16" style="15" customWidth="1"/>
    <col min="1283" max="1283" width="14" style="15" bestFit="1" customWidth="1"/>
    <col min="1284" max="1284" width="15.44140625" style="15" bestFit="1" customWidth="1"/>
    <col min="1285" max="1285" width="16.33203125" style="15" customWidth="1"/>
    <col min="1286" max="1287" width="14" style="15" bestFit="1" customWidth="1"/>
    <col min="1288" max="1288" width="15.6640625" style="15" customWidth="1"/>
    <col min="1289" max="1289" width="13.109375" style="15" bestFit="1" customWidth="1"/>
    <col min="1290" max="1290" width="15.44140625" style="15" customWidth="1"/>
    <col min="1291" max="1291" width="14.33203125" style="15" bestFit="1" customWidth="1"/>
    <col min="1292" max="1292" width="14" style="15" bestFit="1" customWidth="1"/>
    <col min="1293" max="1536" width="9.109375" style="15"/>
    <col min="1537" max="1537" width="38.6640625" style="15" customWidth="1"/>
    <col min="1538" max="1538" width="16" style="15" customWidth="1"/>
    <col min="1539" max="1539" width="14" style="15" bestFit="1" customWidth="1"/>
    <col min="1540" max="1540" width="15.44140625" style="15" bestFit="1" customWidth="1"/>
    <col min="1541" max="1541" width="16.33203125" style="15" customWidth="1"/>
    <col min="1542" max="1543" width="14" style="15" bestFit="1" customWidth="1"/>
    <col min="1544" max="1544" width="15.6640625" style="15" customWidth="1"/>
    <col min="1545" max="1545" width="13.109375" style="15" bestFit="1" customWidth="1"/>
    <col min="1546" max="1546" width="15.44140625" style="15" customWidth="1"/>
    <col min="1547" max="1547" width="14.33203125" style="15" bestFit="1" customWidth="1"/>
    <col min="1548" max="1548" width="14" style="15" bestFit="1" customWidth="1"/>
    <col min="1549" max="1792" width="9.109375" style="15"/>
    <col min="1793" max="1793" width="38.6640625" style="15" customWidth="1"/>
    <col min="1794" max="1794" width="16" style="15" customWidth="1"/>
    <col min="1795" max="1795" width="14" style="15" bestFit="1" customWidth="1"/>
    <col min="1796" max="1796" width="15.44140625" style="15" bestFit="1" customWidth="1"/>
    <col min="1797" max="1797" width="16.33203125" style="15" customWidth="1"/>
    <col min="1798" max="1799" width="14" style="15" bestFit="1" customWidth="1"/>
    <col min="1800" max="1800" width="15.6640625" style="15" customWidth="1"/>
    <col min="1801" max="1801" width="13.109375" style="15" bestFit="1" customWidth="1"/>
    <col min="1802" max="1802" width="15.44140625" style="15" customWidth="1"/>
    <col min="1803" max="1803" width="14.33203125" style="15" bestFit="1" customWidth="1"/>
    <col min="1804" max="1804" width="14" style="15" bestFit="1" customWidth="1"/>
    <col min="1805" max="2048" width="9.109375" style="15"/>
    <col min="2049" max="2049" width="38.6640625" style="15" customWidth="1"/>
    <col min="2050" max="2050" width="16" style="15" customWidth="1"/>
    <col min="2051" max="2051" width="14" style="15" bestFit="1" customWidth="1"/>
    <col min="2052" max="2052" width="15.44140625" style="15" bestFit="1" customWidth="1"/>
    <col min="2053" max="2053" width="16.33203125" style="15" customWidth="1"/>
    <col min="2054" max="2055" width="14" style="15" bestFit="1" customWidth="1"/>
    <col min="2056" max="2056" width="15.6640625" style="15" customWidth="1"/>
    <col min="2057" max="2057" width="13.109375" style="15" bestFit="1" customWidth="1"/>
    <col min="2058" max="2058" width="15.44140625" style="15" customWidth="1"/>
    <col min="2059" max="2059" width="14.33203125" style="15" bestFit="1" customWidth="1"/>
    <col min="2060" max="2060" width="14" style="15" bestFit="1" customWidth="1"/>
    <col min="2061" max="2304" width="9.109375" style="15"/>
    <col min="2305" max="2305" width="38.6640625" style="15" customWidth="1"/>
    <col min="2306" max="2306" width="16" style="15" customWidth="1"/>
    <col min="2307" max="2307" width="14" style="15" bestFit="1" customWidth="1"/>
    <col min="2308" max="2308" width="15.44140625" style="15" bestFit="1" customWidth="1"/>
    <col min="2309" max="2309" width="16.33203125" style="15" customWidth="1"/>
    <col min="2310" max="2311" width="14" style="15" bestFit="1" customWidth="1"/>
    <col min="2312" max="2312" width="15.6640625" style="15" customWidth="1"/>
    <col min="2313" max="2313" width="13.109375" style="15" bestFit="1" customWidth="1"/>
    <col min="2314" max="2314" width="15.44140625" style="15" customWidth="1"/>
    <col min="2315" max="2315" width="14.33203125" style="15" bestFit="1" customWidth="1"/>
    <col min="2316" max="2316" width="14" style="15" bestFit="1" customWidth="1"/>
    <col min="2317" max="2560" width="9.109375" style="15"/>
    <col min="2561" max="2561" width="38.6640625" style="15" customWidth="1"/>
    <col min="2562" max="2562" width="16" style="15" customWidth="1"/>
    <col min="2563" max="2563" width="14" style="15" bestFit="1" customWidth="1"/>
    <col min="2564" max="2564" width="15.44140625" style="15" bestFit="1" customWidth="1"/>
    <col min="2565" max="2565" width="16.33203125" style="15" customWidth="1"/>
    <col min="2566" max="2567" width="14" style="15" bestFit="1" customWidth="1"/>
    <col min="2568" max="2568" width="15.6640625" style="15" customWidth="1"/>
    <col min="2569" max="2569" width="13.109375" style="15" bestFit="1" customWidth="1"/>
    <col min="2570" max="2570" width="15.44140625" style="15" customWidth="1"/>
    <col min="2571" max="2571" width="14.33203125" style="15" bestFit="1" customWidth="1"/>
    <col min="2572" max="2572" width="14" style="15" bestFit="1" customWidth="1"/>
    <col min="2573" max="2816" width="9.109375" style="15"/>
    <col min="2817" max="2817" width="38.6640625" style="15" customWidth="1"/>
    <col min="2818" max="2818" width="16" style="15" customWidth="1"/>
    <col min="2819" max="2819" width="14" style="15" bestFit="1" customWidth="1"/>
    <col min="2820" max="2820" width="15.44140625" style="15" bestFit="1" customWidth="1"/>
    <col min="2821" max="2821" width="16.33203125" style="15" customWidth="1"/>
    <col min="2822" max="2823" width="14" style="15" bestFit="1" customWidth="1"/>
    <col min="2824" max="2824" width="15.6640625" style="15" customWidth="1"/>
    <col min="2825" max="2825" width="13.109375" style="15" bestFit="1" customWidth="1"/>
    <col min="2826" max="2826" width="15.44140625" style="15" customWidth="1"/>
    <col min="2827" max="2827" width="14.33203125" style="15" bestFit="1" customWidth="1"/>
    <col min="2828" max="2828" width="14" style="15" bestFit="1" customWidth="1"/>
    <col min="2829" max="3072" width="9.109375" style="15"/>
    <col min="3073" max="3073" width="38.6640625" style="15" customWidth="1"/>
    <col min="3074" max="3074" width="16" style="15" customWidth="1"/>
    <col min="3075" max="3075" width="14" style="15" bestFit="1" customWidth="1"/>
    <col min="3076" max="3076" width="15.44140625" style="15" bestFit="1" customWidth="1"/>
    <col min="3077" max="3077" width="16.33203125" style="15" customWidth="1"/>
    <col min="3078" max="3079" width="14" style="15" bestFit="1" customWidth="1"/>
    <col min="3080" max="3080" width="15.6640625" style="15" customWidth="1"/>
    <col min="3081" max="3081" width="13.109375" style="15" bestFit="1" customWidth="1"/>
    <col min="3082" max="3082" width="15.44140625" style="15" customWidth="1"/>
    <col min="3083" max="3083" width="14.33203125" style="15" bestFit="1" customWidth="1"/>
    <col min="3084" max="3084" width="14" style="15" bestFit="1" customWidth="1"/>
    <col min="3085" max="3328" width="9.109375" style="15"/>
    <col min="3329" max="3329" width="38.6640625" style="15" customWidth="1"/>
    <col min="3330" max="3330" width="16" style="15" customWidth="1"/>
    <col min="3331" max="3331" width="14" style="15" bestFit="1" customWidth="1"/>
    <col min="3332" max="3332" width="15.44140625" style="15" bestFit="1" customWidth="1"/>
    <col min="3333" max="3333" width="16.33203125" style="15" customWidth="1"/>
    <col min="3334" max="3335" width="14" style="15" bestFit="1" customWidth="1"/>
    <col min="3336" max="3336" width="15.6640625" style="15" customWidth="1"/>
    <col min="3337" max="3337" width="13.109375" style="15" bestFit="1" customWidth="1"/>
    <col min="3338" max="3338" width="15.44140625" style="15" customWidth="1"/>
    <col min="3339" max="3339" width="14.33203125" style="15" bestFit="1" customWidth="1"/>
    <col min="3340" max="3340" width="14" style="15" bestFit="1" customWidth="1"/>
    <col min="3341" max="3584" width="9.109375" style="15"/>
    <col min="3585" max="3585" width="38.6640625" style="15" customWidth="1"/>
    <col min="3586" max="3586" width="16" style="15" customWidth="1"/>
    <col min="3587" max="3587" width="14" style="15" bestFit="1" customWidth="1"/>
    <col min="3588" max="3588" width="15.44140625" style="15" bestFit="1" customWidth="1"/>
    <col min="3589" max="3589" width="16.33203125" style="15" customWidth="1"/>
    <col min="3590" max="3591" width="14" style="15" bestFit="1" customWidth="1"/>
    <col min="3592" max="3592" width="15.6640625" style="15" customWidth="1"/>
    <col min="3593" max="3593" width="13.109375" style="15" bestFit="1" customWidth="1"/>
    <col min="3594" max="3594" width="15.44140625" style="15" customWidth="1"/>
    <col min="3595" max="3595" width="14.33203125" style="15" bestFit="1" customWidth="1"/>
    <col min="3596" max="3596" width="14" style="15" bestFit="1" customWidth="1"/>
    <col min="3597" max="3840" width="9.109375" style="15"/>
    <col min="3841" max="3841" width="38.6640625" style="15" customWidth="1"/>
    <col min="3842" max="3842" width="16" style="15" customWidth="1"/>
    <col min="3843" max="3843" width="14" style="15" bestFit="1" customWidth="1"/>
    <col min="3844" max="3844" width="15.44140625" style="15" bestFit="1" customWidth="1"/>
    <col min="3845" max="3845" width="16.33203125" style="15" customWidth="1"/>
    <col min="3846" max="3847" width="14" style="15" bestFit="1" customWidth="1"/>
    <col min="3848" max="3848" width="15.6640625" style="15" customWidth="1"/>
    <col min="3849" max="3849" width="13.109375" style="15" bestFit="1" customWidth="1"/>
    <col min="3850" max="3850" width="15.44140625" style="15" customWidth="1"/>
    <col min="3851" max="3851" width="14.33203125" style="15" bestFit="1" customWidth="1"/>
    <col min="3852" max="3852" width="14" style="15" bestFit="1" customWidth="1"/>
    <col min="3853" max="4096" width="9.109375" style="15"/>
    <col min="4097" max="4097" width="38.6640625" style="15" customWidth="1"/>
    <col min="4098" max="4098" width="16" style="15" customWidth="1"/>
    <col min="4099" max="4099" width="14" style="15" bestFit="1" customWidth="1"/>
    <col min="4100" max="4100" width="15.44140625" style="15" bestFit="1" customWidth="1"/>
    <col min="4101" max="4101" width="16.33203125" style="15" customWidth="1"/>
    <col min="4102" max="4103" width="14" style="15" bestFit="1" customWidth="1"/>
    <col min="4104" max="4104" width="15.6640625" style="15" customWidth="1"/>
    <col min="4105" max="4105" width="13.109375" style="15" bestFit="1" customWidth="1"/>
    <col min="4106" max="4106" width="15.44140625" style="15" customWidth="1"/>
    <col min="4107" max="4107" width="14.33203125" style="15" bestFit="1" customWidth="1"/>
    <col min="4108" max="4108" width="14" style="15" bestFit="1" customWidth="1"/>
    <col min="4109" max="4352" width="9.109375" style="15"/>
    <col min="4353" max="4353" width="38.6640625" style="15" customWidth="1"/>
    <col min="4354" max="4354" width="16" style="15" customWidth="1"/>
    <col min="4355" max="4355" width="14" style="15" bestFit="1" customWidth="1"/>
    <col min="4356" max="4356" width="15.44140625" style="15" bestFit="1" customWidth="1"/>
    <col min="4357" max="4357" width="16.33203125" style="15" customWidth="1"/>
    <col min="4358" max="4359" width="14" style="15" bestFit="1" customWidth="1"/>
    <col min="4360" max="4360" width="15.6640625" style="15" customWidth="1"/>
    <col min="4361" max="4361" width="13.109375" style="15" bestFit="1" customWidth="1"/>
    <col min="4362" max="4362" width="15.44140625" style="15" customWidth="1"/>
    <col min="4363" max="4363" width="14.33203125" style="15" bestFit="1" customWidth="1"/>
    <col min="4364" max="4364" width="14" style="15" bestFit="1" customWidth="1"/>
    <col min="4365" max="4608" width="9.109375" style="15"/>
    <col min="4609" max="4609" width="38.6640625" style="15" customWidth="1"/>
    <col min="4610" max="4610" width="16" style="15" customWidth="1"/>
    <col min="4611" max="4611" width="14" style="15" bestFit="1" customWidth="1"/>
    <col min="4612" max="4612" width="15.44140625" style="15" bestFit="1" customWidth="1"/>
    <col min="4613" max="4613" width="16.33203125" style="15" customWidth="1"/>
    <col min="4614" max="4615" width="14" style="15" bestFit="1" customWidth="1"/>
    <col min="4616" max="4616" width="15.6640625" style="15" customWidth="1"/>
    <col min="4617" max="4617" width="13.109375" style="15" bestFit="1" customWidth="1"/>
    <col min="4618" max="4618" width="15.44140625" style="15" customWidth="1"/>
    <col min="4619" max="4619" width="14.33203125" style="15" bestFit="1" customWidth="1"/>
    <col min="4620" max="4620" width="14" style="15" bestFit="1" customWidth="1"/>
    <col min="4621" max="4864" width="9.109375" style="15"/>
    <col min="4865" max="4865" width="38.6640625" style="15" customWidth="1"/>
    <col min="4866" max="4866" width="16" style="15" customWidth="1"/>
    <col min="4867" max="4867" width="14" style="15" bestFit="1" customWidth="1"/>
    <col min="4868" max="4868" width="15.44140625" style="15" bestFit="1" customWidth="1"/>
    <col min="4869" max="4869" width="16.33203125" style="15" customWidth="1"/>
    <col min="4870" max="4871" width="14" style="15" bestFit="1" customWidth="1"/>
    <col min="4872" max="4872" width="15.6640625" style="15" customWidth="1"/>
    <col min="4873" max="4873" width="13.109375" style="15" bestFit="1" customWidth="1"/>
    <col min="4874" max="4874" width="15.44140625" style="15" customWidth="1"/>
    <col min="4875" max="4875" width="14.33203125" style="15" bestFit="1" customWidth="1"/>
    <col min="4876" max="4876" width="14" style="15" bestFit="1" customWidth="1"/>
    <col min="4877" max="5120" width="9.109375" style="15"/>
    <col min="5121" max="5121" width="38.6640625" style="15" customWidth="1"/>
    <col min="5122" max="5122" width="16" style="15" customWidth="1"/>
    <col min="5123" max="5123" width="14" style="15" bestFit="1" customWidth="1"/>
    <col min="5124" max="5124" width="15.44140625" style="15" bestFit="1" customWidth="1"/>
    <col min="5125" max="5125" width="16.33203125" style="15" customWidth="1"/>
    <col min="5126" max="5127" width="14" style="15" bestFit="1" customWidth="1"/>
    <col min="5128" max="5128" width="15.6640625" style="15" customWidth="1"/>
    <col min="5129" max="5129" width="13.109375" style="15" bestFit="1" customWidth="1"/>
    <col min="5130" max="5130" width="15.44140625" style="15" customWidth="1"/>
    <col min="5131" max="5131" width="14.33203125" style="15" bestFit="1" customWidth="1"/>
    <col min="5132" max="5132" width="14" style="15" bestFit="1" customWidth="1"/>
    <col min="5133" max="5376" width="9.109375" style="15"/>
    <col min="5377" max="5377" width="38.6640625" style="15" customWidth="1"/>
    <col min="5378" max="5378" width="16" style="15" customWidth="1"/>
    <col min="5379" max="5379" width="14" style="15" bestFit="1" customWidth="1"/>
    <col min="5380" max="5380" width="15.44140625" style="15" bestFit="1" customWidth="1"/>
    <col min="5381" max="5381" width="16.33203125" style="15" customWidth="1"/>
    <col min="5382" max="5383" width="14" style="15" bestFit="1" customWidth="1"/>
    <col min="5384" max="5384" width="15.6640625" style="15" customWidth="1"/>
    <col min="5385" max="5385" width="13.109375" style="15" bestFit="1" customWidth="1"/>
    <col min="5386" max="5386" width="15.44140625" style="15" customWidth="1"/>
    <col min="5387" max="5387" width="14.33203125" style="15" bestFit="1" customWidth="1"/>
    <col min="5388" max="5388" width="14" style="15" bestFit="1" customWidth="1"/>
    <col min="5389" max="5632" width="9.109375" style="15"/>
    <col min="5633" max="5633" width="38.6640625" style="15" customWidth="1"/>
    <col min="5634" max="5634" width="16" style="15" customWidth="1"/>
    <col min="5635" max="5635" width="14" style="15" bestFit="1" customWidth="1"/>
    <col min="5636" max="5636" width="15.44140625" style="15" bestFit="1" customWidth="1"/>
    <col min="5637" max="5637" width="16.33203125" style="15" customWidth="1"/>
    <col min="5638" max="5639" width="14" style="15" bestFit="1" customWidth="1"/>
    <col min="5640" max="5640" width="15.6640625" style="15" customWidth="1"/>
    <col min="5641" max="5641" width="13.109375" style="15" bestFit="1" customWidth="1"/>
    <col min="5642" max="5642" width="15.44140625" style="15" customWidth="1"/>
    <col min="5643" max="5643" width="14.33203125" style="15" bestFit="1" customWidth="1"/>
    <col min="5644" max="5644" width="14" style="15" bestFit="1" customWidth="1"/>
    <col min="5645" max="5888" width="9.109375" style="15"/>
    <col min="5889" max="5889" width="38.6640625" style="15" customWidth="1"/>
    <col min="5890" max="5890" width="16" style="15" customWidth="1"/>
    <col min="5891" max="5891" width="14" style="15" bestFit="1" customWidth="1"/>
    <col min="5892" max="5892" width="15.44140625" style="15" bestFit="1" customWidth="1"/>
    <col min="5893" max="5893" width="16.33203125" style="15" customWidth="1"/>
    <col min="5894" max="5895" width="14" style="15" bestFit="1" customWidth="1"/>
    <col min="5896" max="5896" width="15.6640625" style="15" customWidth="1"/>
    <col min="5897" max="5897" width="13.109375" style="15" bestFit="1" customWidth="1"/>
    <col min="5898" max="5898" width="15.44140625" style="15" customWidth="1"/>
    <col min="5899" max="5899" width="14.33203125" style="15" bestFit="1" customWidth="1"/>
    <col min="5900" max="5900" width="14" style="15" bestFit="1" customWidth="1"/>
    <col min="5901" max="6144" width="9.109375" style="15"/>
    <col min="6145" max="6145" width="38.6640625" style="15" customWidth="1"/>
    <col min="6146" max="6146" width="16" style="15" customWidth="1"/>
    <col min="6147" max="6147" width="14" style="15" bestFit="1" customWidth="1"/>
    <col min="6148" max="6148" width="15.44140625" style="15" bestFit="1" customWidth="1"/>
    <col min="6149" max="6149" width="16.33203125" style="15" customWidth="1"/>
    <col min="6150" max="6151" width="14" style="15" bestFit="1" customWidth="1"/>
    <col min="6152" max="6152" width="15.6640625" style="15" customWidth="1"/>
    <col min="6153" max="6153" width="13.109375" style="15" bestFit="1" customWidth="1"/>
    <col min="6154" max="6154" width="15.44140625" style="15" customWidth="1"/>
    <col min="6155" max="6155" width="14.33203125" style="15" bestFit="1" customWidth="1"/>
    <col min="6156" max="6156" width="14" style="15" bestFit="1" customWidth="1"/>
    <col min="6157" max="6400" width="9.109375" style="15"/>
    <col min="6401" max="6401" width="38.6640625" style="15" customWidth="1"/>
    <col min="6402" max="6402" width="16" style="15" customWidth="1"/>
    <col min="6403" max="6403" width="14" style="15" bestFit="1" customWidth="1"/>
    <col min="6404" max="6404" width="15.44140625" style="15" bestFit="1" customWidth="1"/>
    <col min="6405" max="6405" width="16.33203125" style="15" customWidth="1"/>
    <col min="6406" max="6407" width="14" style="15" bestFit="1" customWidth="1"/>
    <col min="6408" max="6408" width="15.6640625" style="15" customWidth="1"/>
    <col min="6409" max="6409" width="13.109375" style="15" bestFit="1" customWidth="1"/>
    <col min="6410" max="6410" width="15.44140625" style="15" customWidth="1"/>
    <col min="6411" max="6411" width="14.33203125" style="15" bestFit="1" customWidth="1"/>
    <col min="6412" max="6412" width="14" style="15" bestFit="1" customWidth="1"/>
    <col min="6413" max="6656" width="9.109375" style="15"/>
    <col min="6657" max="6657" width="38.6640625" style="15" customWidth="1"/>
    <col min="6658" max="6658" width="16" style="15" customWidth="1"/>
    <col min="6659" max="6659" width="14" style="15" bestFit="1" customWidth="1"/>
    <col min="6660" max="6660" width="15.44140625" style="15" bestFit="1" customWidth="1"/>
    <col min="6661" max="6661" width="16.33203125" style="15" customWidth="1"/>
    <col min="6662" max="6663" width="14" style="15" bestFit="1" customWidth="1"/>
    <col min="6664" max="6664" width="15.6640625" style="15" customWidth="1"/>
    <col min="6665" max="6665" width="13.109375" style="15" bestFit="1" customWidth="1"/>
    <col min="6666" max="6666" width="15.44140625" style="15" customWidth="1"/>
    <col min="6667" max="6667" width="14.33203125" style="15" bestFit="1" customWidth="1"/>
    <col min="6668" max="6668" width="14" style="15" bestFit="1" customWidth="1"/>
    <col min="6669" max="6912" width="9.109375" style="15"/>
    <col min="6913" max="6913" width="38.6640625" style="15" customWidth="1"/>
    <col min="6914" max="6914" width="16" style="15" customWidth="1"/>
    <col min="6915" max="6915" width="14" style="15" bestFit="1" customWidth="1"/>
    <col min="6916" max="6916" width="15.44140625" style="15" bestFit="1" customWidth="1"/>
    <col min="6917" max="6917" width="16.33203125" style="15" customWidth="1"/>
    <col min="6918" max="6919" width="14" style="15" bestFit="1" customWidth="1"/>
    <col min="6920" max="6920" width="15.6640625" style="15" customWidth="1"/>
    <col min="6921" max="6921" width="13.109375" style="15" bestFit="1" customWidth="1"/>
    <col min="6922" max="6922" width="15.44140625" style="15" customWidth="1"/>
    <col min="6923" max="6923" width="14.33203125" style="15" bestFit="1" customWidth="1"/>
    <col min="6924" max="6924" width="14" style="15" bestFit="1" customWidth="1"/>
    <col min="6925" max="7168" width="9.109375" style="15"/>
    <col min="7169" max="7169" width="38.6640625" style="15" customWidth="1"/>
    <col min="7170" max="7170" width="16" style="15" customWidth="1"/>
    <col min="7171" max="7171" width="14" style="15" bestFit="1" customWidth="1"/>
    <col min="7172" max="7172" width="15.44140625" style="15" bestFit="1" customWidth="1"/>
    <col min="7173" max="7173" width="16.33203125" style="15" customWidth="1"/>
    <col min="7174" max="7175" width="14" style="15" bestFit="1" customWidth="1"/>
    <col min="7176" max="7176" width="15.6640625" style="15" customWidth="1"/>
    <col min="7177" max="7177" width="13.109375" style="15" bestFit="1" customWidth="1"/>
    <col min="7178" max="7178" width="15.44140625" style="15" customWidth="1"/>
    <col min="7179" max="7179" width="14.33203125" style="15" bestFit="1" customWidth="1"/>
    <col min="7180" max="7180" width="14" style="15" bestFit="1" customWidth="1"/>
    <col min="7181" max="7424" width="9.109375" style="15"/>
    <col min="7425" max="7425" width="38.6640625" style="15" customWidth="1"/>
    <col min="7426" max="7426" width="16" style="15" customWidth="1"/>
    <col min="7427" max="7427" width="14" style="15" bestFit="1" customWidth="1"/>
    <col min="7428" max="7428" width="15.44140625" style="15" bestFit="1" customWidth="1"/>
    <col min="7429" max="7429" width="16.33203125" style="15" customWidth="1"/>
    <col min="7430" max="7431" width="14" style="15" bestFit="1" customWidth="1"/>
    <col min="7432" max="7432" width="15.6640625" style="15" customWidth="1"/>
    <col min="7433" max="7433" width="13.109375" style="15" bestFit="1" customWidth="1"/>
    <col min="7434" max="7434" width="15.44140625" style="15" customWidth="1"/>
    <col min="7435" max="7435" width="14.33203125" style="15" bestFit="1" customWidth="1"/>
    <col min="7436" max="7436" width="14" style="15" bestFit="1" customWidth="1"/>
    <col min="7437" max="7680" width="9.109375" style="15"/>
    <col min="7681" max="7681" width="38.6640625" style="15" customWidth="1"/>
    <col min="7682" max="7682" width="16" style="15" customWidth="1"/>
    <col min="7683" max="7683" width="14" style="15" bestFit="1" customWidth="1"/>
    <col min="7684" max="7684" width="15.44140625" style="15" bestFit="1" customWidth="1"/>
    <col min="7685" max="7685" width="16.33203125" style="15" customWidth="1"/>
    <col min="7686" max="7687" width="14" style="15" bestFit="1" customWidth="1"/>
    <col min="7688" max="7688" width="15.6640625" style="15" customWidth="1"/>
    <col min="7689" max="7689" width="13.109375" style="15" bestFit="1" customWidth="1"/>
    <col min="7690" max="7690" width="15.44140625" style="15" customWidth="1"/>
    <col min="7691" max="7691" width="14.33203125" style="15" bestFit="1" customWidth="1"/>
    <col min="7692" max="7692" width="14" style="15" bestFit="1" customWidth="1"/>
    <col min="7693" max="7936" width="9.109375" style="15"/>
    <col min="7937" max="7937" width="38.6640625" style="15" customWidth="1"/>
    <col min="7938" max="7938" width="16" style="15" customWidth="1"/>
    <col min="7939" max="7939" width="14" style="15" bestFit="1" customWidth="1"/>
    <col min="7940" max="7940" width="15.44140625" style="15" bestFit="1" customWidth="1"/>
    <col min="7941" max="7941" width="16.33203125" style="15" customWidth="1"/>
    <col min="7942" max="7943" width="14" style="15" bestFit="1" customWidth="1"/>
    <col min="7944" max="7944" width="15.6640625" style="15" customWidth="1"/>
    <col min="7945" max="7945" width="13.109375" style="15" bestFit="1" customWidth="1"/>
    <col min="7946" max="7946" width="15.44140625" style="15" customWidth="1"/>
    <col min="7947" max="7947" width="14.33203125" style="15" bestFit="1" customWidth="1"/>
    <col min="7948" max="7948" width="14" style="15" bestFit="1" customWidth="1"/>
    <col min="7949" max="8192" width="9.109375" style="15"/>
    <col min="8193" max="8193" width="38.6640625" style="15" customWidth="1"/>
    <col min="8194" max="8194" width="16" style="15" customWidth="1"/>
    <col min="8195" max="8195" width="14" style="15" bestFit="1" customWidth="1"/>
    <col min="8196" max="8196" width="15.44140625" style="15" bestFit="1" customWidth="1"/>
    <col min="8197" max="8197" width="16.33203125" style="15" customWidth="1"/>
    <col min="8198" max="8199" width="14" style="15" bestFit="1" customWidth="1"/>
    <col min="8200" max="8200" width="15.6640625" style="15" customWidth="1"/>
    <col min="8201" max="8201" width="13.109375" style="15" bestFit="1" customWidth="1"/>
    <col min="8202" max="8202" width="15.44140625" style="15" customWidth="1"/>
    <col min="8203" max="8203" width="14.33203125" style="15" bestFit="1" customWidth="1"/>
    <col min="8204" max="8204" width="14" style="15" bestFit="1" customWidth="1"/>
    <col min="8205" max="8448" width="9.109375" style="15"/>
    <col min="8449" max="8449" width="38.6640625" style="15" customWidth="1"/>
    <col min="8450" max="8450" width="16" style="15" customWidth="1"/>
    <col min="8451" max="8451" width="14" style="15" bestFit="1" customWidth="1"/>
    <col min="8452" max="8452" width="15.44140625" style="15" bestFit="1" customWidth="1"/>
    <col min="8453" max="8453" width="16.33203125" style="15" customWidth="1"/>
    <col min="8454" max="8455" width="14" style="15" bestFit="1" customWidth="1"/>
    <col min="8456" max="8456" width="15.6640625" style="15" customWidth="1"/>
    <col min="8457" max="8457" width="13.109375" style="15" bestFit="1" customWidth="1"/>
    <col min="8458" max="8458" width="15.44140625" style="15" customWidth="1"/>
    <col min="8459" max="8459" width="14.33203125" style="15" bestFit="1" customWidth="1"/>
    <col min="8460" max="8460" width="14" style="15" bestFit="1" customWidth="1"/>
    <col min="8461" max="8704" width="9.109375" style="15"/>
    <col min="8705" max="8705" width="38.6640625" style="15" customWidth="1"/>
    <col min="8706" max="8706" width="16" style="15" customWidth="1"/>
    <col min="8707" max="8707" width="14" style="15" bestFit="1" customWidth="1"/>
    <col min="8708" max="8708" width="15.44140625" style="15" bestFit="1" customWidth="1"/>
    <col min="8709" max="8709" width="16.33203125" style="15" customWidth="1"/>
    <col min="8710" max="8711" width="14" style="15" bestFit="1" customWidth="1"/>
    <col min="8712" max="8712" width="15.6640625" style="15" customWidth="1"/>
    <col min="8713" max="8713" width="13.109375" style="15" bestFit="1" customWidth="1"/>
    <col min="8714" max="8714" width="15.44140625" style="15" customWidth="1"/>
    <col min="8715" max="8715" width="14.33203125" style="15" bestFit="1" customWidth="1"/>
    <col min="8716" max="8716" width="14" style="15" bestFit="1" customWidth="1"/>
    <col min="8717" max="8960" width="9.109375" style="15"/>
    <col min="8961" max="8961" width="38.6640625" style="15" customWidth="1"/>
    <col min="8962" max="8962" width="16" style="15" customWidth="1"/>
    <col min="8963" max="8963" width="14" style="15" bestFit="1" customWidth="1"/>
    <col min="8964" max="8964" width="15.44140625" style="15" bestFit="1" customWidth="1"/>
    <col min="8965" max="8965" width="16.33203125" style="15" customWidth="1"/>
    <col min="8966" max="8967" width="14" style="15" bestFit="1" customWidth="1"/>
    <col min="8968" max="8968" width="15.6640625" style="15" customWidth="1"/>
    <col min="8969" max="8969" width="13.109375" style="15" bestFit="1" customWidth="1"/>
    <col min="8970" max="8970" width="15.44140625" style="15" customWidth="1"/>
    <col min="8971" max="8971" width="14.33203125" style="15" bestFit="1" customWidth="1"/>
    <col min="8972" max="8972" width="14" style="15" bestFit="1" customWidth="1"/>
    <col min="8973" max="9216" width="9.109375" style="15"/>
    <col min="9217" max="9217" width="38.6640625" style="15" customWidth="1"/>
    <col min="9218" max="9218" width="16" style="15" customWidth="1"/>
    <col min="9219" max="9219" width="14" style="15" bestFit="1" customWidth="1"/>
    <col min="9220" max="9220" width="15.44140625" style="15" bestFit="1" customWidth="1"/>
    <col min="9221" max="9221" width="16.33203125" style="15" customWidth="1"/>
    <col min="9222" max="9223" width="14" style="15" bestFit="1" customWidth="1"/>
    <col min="9224" max="9224" width="15.6640625" style="15" customWidth="1"/>
    <col min="9225" max="9225" width="13.109375" style="15" bestFit="1" customWidth="1"/>
    <col min="9226" max="9226" width="15.44140625" style="15" customWidth="1"/>
    <col min="9227" max="9227" width="14.33203125" style="15" bestFit="1" customWidth="1"/>
    <col min="9228" max="9228" width="14" style="15" bestFit="1" customWidth="1"/>
    <col min="9229" max="9472" width="9.109375" style="15"/>
    <col min="9473" max="9473" width="38.6640625" style="15" customWidth="1"/>
    <col min="9474" max="9474" width="16" style="15" customWidth="1"/>
    <col min="9475" max="9475" width="14" style="15" bestFit="1" customWidth="1"/>
    <col min="9476" max="9476" width="15.44140625" style="15" bestFit="1" customWidth="1"/>
    <col min="9477" max="9477" width="16.33203125" style="15" customWidth="1"/>
    <col min="9478" max="9479" width="14" style="15" bestFit="1" customWidth="1"/>
    <col min="9480" max="9480" width="15.6640625" style="15" customWidth="1"/>
    <col min="9481" max="9481" width="13.109375" style="15" bestFit="1" customWidth="1"/>
    <col min="9482" max="9482" width="15.44140625" style="15" customWidth="1"/>
    <col min="9483" max="9483" width="14.33203125" style="15" bestFit="1" customWidth="1"/>
    <col min="9484" max="9484" width="14" style="15" bestFit="1" customWidth="1"/>
    <col min="9485" max="9728" width="9.109375" style="15"/>
    <col min="9729" max="9729" width="38.6640625" style="15" customWidth="1"/>
    <col min="9730" max="9730" width="16" style="15" customWidth="1"/>
    <col min="9731" max="9731" width="14" style="15" bestFit="1" customWidth="1"/>
    <col min="9732" max="9732" width="15.44140625" style="15" bestFit="1" customWidth="1"/>
    <col min="9733" max="9733" width="16.33203125" style="15" customWidth="1"/>
    <col min="9734" max="9735" width="14" style="15" bestFit="1" customWidth="1"/>
    <col min="9736" max="9736" width="15.6640625" style="15" customWidth="1"/>
    <col min="9737" max="9737" width="13.109375" style="15" bestFit="1" customWidth="1"/>
    <col min="9738" max="9738" width="15.44140625" style="15" customWidth="1"/>
    <col min="9739" max="9739" width="14.33203125" style="15" bestFit="1" customWidth="1"/>
    <col min="9740" max="9740" width="14" style="15" bestFit="1" customWidth="1"/>
    <col min="9741" max="9984" width="9.109375" style="15"/>
    <col min="9985" max="9985" width="38.6640625" style="15" customWidth="1"/>
    <col min="9986" max="9986" width="16" style="15" customWidth="1"/>
    <col min="9987" max="9987" width="14" style="15" bestFit="1" customWidth="1"/>
    <col min="9988" max="9988" width="15.44140625" style="15" bestFit="1" customWidth="1"/>
    <col min="9989" max="9989" width="16.33203125" style="15" customWidth="1"/>
    <col min="9990" max="9991" width="14" style="15" bestFit="1" customWidth="1"/>
    <col min="9992" max="9992" width="15.6640625" style="15" customWidth="1"/>
    <col min="9993" max="9993" width="13.109375" style="15" bestFit="1" customWidth="1"/>
    <col min="9994" max="9994" width="15.44140625" style="15" customWidth="1"/>
    <col min="9995" max="9995" width="14.33203125" style="15" bestFit="1" customWidth="1"/>
    <col min="9996" max="9996" width="14" style="15" bestFit="1" customWidth="1"/>
    <col min="9997" max="10240" width="9.109375" style="15"/>
    <col min="10241" max="10241" width="38.6640625" style="15" customWidth="1"/>
    <col min="10242" max="10242" width="16" style="15" customWidth="1"/>
    <col min="10243" max="10243" width="14" style="15" bestFit="1" customWidth="1"/>
    <col min="10244" max="10244" width="15.44140625" style="15" bestFit="1" customWidth="1"/>
    <col min="10245" max="10245" width="16.33203125" style="15" customWidth="1"/>
    <col min="10246" max="10247" width="14" style="15" bestFit="1" customWidth="1"/>
    <col min="10248" max="10248" width="15.6640625" style="15" customWidth="1"/>
    <col min="10249" max="10249" width="13.109375" style="15" bestFit="1" customWidth="1"/>
    <col min="10250" max="10250" width="15.44140625" style="15" customWidth="1"/>
    <col min="10251" max="10251" width="14.33203125" style="15" bestFit="1" customWidth="1"/>
    <col min="10252" max="10252" width="14" style="15" bestFit="1" customWidth="1"/>
    <col min="10253" max="10496" width="9.109375" style="15"/>
    <col min="10497" max="10497" width="38.6640625" style="15" customWidth="1"/>
    <col min="10498" max="10498" width="16" style="15" customWidth="1"/>
    <col min="10499" max="10499" width="14" style="15" bestFit="1" customWidth="1"/>
    <col min="10500" max="10500" width="15.44140625" style="15" bestFit="1" customWidth="1"/>
    <col min="10501" max="10501" width="16.33203125" style="15" customWidth="1"/>
    <col min="10502" max="10503" width="14" style="15" bestFit="1" customWidth="1"/>
    <col min="10504" max="10504" width="15.6640625" style="15" customWidth="1"/>
    <col min="10505" max="10505" width="13.109375" style="15" bestFit="1" customWidth="1"/>
    <col min="10506" max="10506" width="15.44140625" style="15" customWidth="1"/>
    <col min="10507" max="10507" width="14.33203125" style="15" bestFit="1" customWidth="1"/>
    <col min="10508" max="10508" width="14" style="15" bestFit="1" customWidth="1"/>
    <col min="10509" max="10752" width="9.109375" style="15"/>
    <col min="10753" max="10753" width="38.6640625" style="15" customWidth="1"/>
    <col min="10754" max="10754" width="16" style="15" customWidth="1"/>
    <col min="10755" max="10755" width="14" style="15" bestFit="1" customWidth="1"/>
    <col min="10756" max="10756" width="15.44140625" style="15" bestFit="1" customWidth="1"/>
    <col min="10757" max="10757" width="16.33203125" style="15" customWidth="1"/>
    <col min="10758" max="10759" width="14" style="15" bestFit="1" customWidth="1"/>
    <col min="10760" max="10760" width="15.6640625" style="15" customWidth="1"/>
    <col min="10761" max="10761" width="13.109375" style="15" bestFit="1" customWidth="1"/>
    <col min="10762" max="10762" width="15.44140625" style="15" customWidth="1"/>
    <col min="10763" max="10763" width="14.33203125" style="15" bestFit="1" customWidth="1"/>
    <col min="10764" max="10764" width="14" style="15" bestFit="1" customWidth="1"/>
    <col min="10765" max="11008" width="9.109375" style="15"/>
    <col min="11009" max="11009" width="38.6640625" style="15" customWidth="1"/>
    <col min="11010" max="11010" width="16" style="15" customWidth="1"/>
    <col min="11011" max="11011" width="14" style="15" bestFit="1" customWidth="1"/>
    <col min="11012" max="11012" width="15.44140625" style="15" bestFit="1" customWidth="1"/>
    <col min="11013" max="11013" width="16.33203125" style="15" customWidth="1"/>
    <col min="11014" max="11015" width="14" style="15" bestFit="1" customWidth="1"/>
    <col min="11016" max="11016" width="15.6640625" style="15" customWidth="1"/>
    <col min="11017" max="11017" width="13.109375" style="15" bestFit="1" customWidth="1"/>
    <col min="11018" max="11018" width="15.44140625" style="15" customWidth="1"/>
    <col min="11019" max="11019" width="14.33203125" style="15" bestFit="1" customWidth="1"/>
    <col min="11020" max="11020" width="14" style="15" bestFit="1" customWidth="1"/>
    <col min="11021" max="11264" width="9.109375" style="15"/>
    <col min="11265" max="11265" width="38.6640625" style="15" customWidth="1"/>
    <col min="11266" max="11266" width="16" style="15" customWidth="1"/>
    <col min="11267" max="11267" width="14" style="15" bestFit="1" customWidth="1"/>
    <col min="11268" max="11268" width="15.44140625" style="15" bestFit="1" customWidth="1"/>
    <col min="11269" max="11269" width="16.33203125" style="15" customWidth="1"/>
    <col min="11270" max="11271" width="14" style="15" bestFit="1" customWidth="1"/>
    <col min="11272" max="11272" width="15.6640625" style="15" customWidth="1"/>
    <col min="11273" max="11273" width="13.109375" style="15" bestFit="1" customWidth="1"/>
    <col min="11274" max="11274" width="15.44140625" style="15" customWidth="1"/>
    <col min="11275" max="11275" width="14.33203125" style="15" bestFit="1" customWidth="1"/>
    <col min="11276" max="11276" width="14" style="15" bestFit="1" customWidth="1"/>
    <col min="11277" max="11520" width="9.109375" style="15"/>
    <col min="11521" max="11521" width="38.6640625" style="15" customWidth="1"/>
    <col min="11522" max="11522" width="16" style="15" customWidth="1"/>
    <col min="11523" max="11523" width="14" style="15" bestFit="1" customWidth="1"/>
    <col min="11524" max="11524" width="15.44140625" style="15" bestFit="1" customWidth="1"/>
    <col min="11525" max="11525" width="16.33203125" style="15" customWidth="1"/>
    <col min="11526" max="11527" width="14" style="15" bestFit="1" customWidth="1"/>
    <col min="11528" max="11528" width="15.6640625" style="15" customWidth="1"/>
    <col min="11529" max="11529" width="13.109375" style="15" bestFit="1" customWidth="1"/>
    <col min="11530" max="11530" width="15.44140625" style="15" customWidth="1"/>
    <col min="11531" max="11531" width="14.33203125" style="15" bestFit="1" customWidth="1"/>
    <col min="11532" max="11532" width="14" style="15" bestFit="1" customWidth="1"/>
    <col min="11533" max="11776" width="9.109375" style="15"/>
    <col min="11777" max="11777" width="38.6640625" style="15" customWidth="1"/>
    <col min="11778" max="11778" width="16" style="15" customWidth="1"/>
    <col min="11779" max="11779" width="14" style="15" bestFit="1" customWidth="1"/>
    <col min="11780" max="11780" width="15.44140625" style="15" bestFit="1" customWidth="1"/>
    <col min="11781" max="11781" width="16.33203125" style="15" customWidth="1"/>
    <col min="11782" max="11783" width="14" style="15" bestFit="1" customWidth="1"/>
    <col min="11784" max="11784" width="15.6640625" style="15" customWidth="1"/>
    <col min="11785" max="11785" width="13.109375" style="15" bestFit="1" customWidth="1"/>
    <col min="11786" max="11786" width="15.44140625" style="15" customWidth="1"/>
    <col min="11787" max="11787" width="14.33203125" style="15" bestFit="1" customWidth="1"/>
    <col min="11788" max="11788" width="14" style="15" bestFit="1" customWidth="1"/>
    <col min="11789" max="12032" width="9.109375" style="15"/>
    <col min="12033" max="12033" width="38.6640625" style="15" customWidth="1"/>
    <col min="12034" max="12034" width="16" style="15" customWidth="1"/>
    <col min="12035" max="12035" width="14" style="15" bestFit="1" customWidth="1"/>
    <col min="12036" max="12036" width="15.44140625" style="15" bestFit="1" customWidth="1"/>
    <col min="12037" max="12037" width="16.33203125" style="15" customWidth="1"/>
    <col min="12038" max="12039" width="14" style="15" bestFit="1" customWidth="1"/>
    <col min="12040" max="12040" width="15.6640625" style="15" customWidth="1"/>
    <col min="12041" max="12041" width="13.109375" style="15" bestFit="1" customWidth="1"/>
    <col min="12042" max="12042" width="15.44140625" style="15" customWidth="1"/>
    <col min="12043" max="12043" width="14.33203125" style="15" bestFit="1" customWidth="1"/>
    <col min="12044" max="12044" width="14" style="15" bestFit="1" customWidth="1"/>
    <col min="12045" max="12288" width="9.109375" style="15"/>
    <col min="12289" max="12289" width="38.6640625" style="15" customWidth="1"/>
    <col min="12290" max="12290" width="16" style="15" customWidth="1"/>
    <col min="12291" max="12291" width="14" style="15" bestFit="1" customWidth="1"/>
    <col min="12292" max="12292" width="15.44140625" style="15" bestFit="1" customWidth="1"/>
    <col min="12293" max="12293" width="16.33203125" style="15" customWidth="1"/>
    <col min="12294" max="12295" width="14" style="15" bestFit="1" customWidth="1"/>
    <col min="12296" max="12296" width="15.6640625" style="15" customWidth="1"/>
    <col min="12297" max="12297" width="13.109375" style="15" bestFit="1" customWidth="1"/>
    <col min="12298" max="12298" width="15.44140625" style="15" customWidth="1"/>
    <col min="12299" max="12299" width="14.33203125" style="15" bestFit="1" customWidth="1"/>
    <col min="12300" max="12300" width="14" style="15" bestFit="1" customWidth="1"/>
    <col min="12301" max="12544" width="9.109375" style="15"/>
    <col min="12545" max="12545" width="38.6640625" style="15" customWidth="1"/>
    <col min="12546" max="12546" width="16" style="15" customWidth="1"/>
    <col min="12547" max="12547" width="14" style="15" bestFit="1" customWidth="1"/>
    <col min="12548" max="12548" width="15.44140625" style="15" bestFit="1" customWidth="1"/>
    <col min="12549" max="12549" width="16.33203125" style="15" customWidth="1"/>
    <col min="12550" max="12551" width="14" style="15" bestFit="1" customWidth="1"/>
    <col min="12552" max="12552" width="15.6640625" style="15" customWidth="1"/>
    <col min="12553" max="12553" width="13.109375" style="15" bestFit="1" customWidth="1"/>
    <col min="12554" max="12554" width="15.44140625" style="15" customWidth="1"/>
    <col min="12555" max="12555" width="14.33203125" style="15" bestFit="1" customWidth="1"/>
    <col min="12556" max="12556" width="14" style="15" bestFit="1" customWidth="1"/>
    <col min="12557" max="12800" width="9.109375" style="15"/>
    <col min="12801" max="12801" width="38.6640625" style="15" customWidth="1"/>
    <col min="12802" max="12802" width="16" style="15" customWidth="1"/>
    <col min="12803" max="12803" width="14" style="15" bestFit="1" customWidth="1"/>
    <col min="12804" max="12804" width="15.44140625" style="15" bestFit="1" customWidth="1"/>
    <col min="12805" max="12805" width="16.33203125" style="15" customWidth="1"/>
    <col min="12806" max="12807" width="14" style="15" bestFit="1" customWidth="1"/>
    <col min="12808" max="12808" width="15.6640625" style="15" customWidth="1"/>
    <col min="12809" max="12809" width="13.109375" style="15" bestFit="1" customWidth="1"/>
    <col min="12810" max="12810" width="15.44140625" style="15" customWidth="1"/>
    <col min="12811" max="12811" width="14.33203125" style="15" bestFit="1" customWidth="1"/>
    <col min="12812" max="12812" width="14" style="15" bestFit="1" customWidth="1"/>
    <col min="12813" max="13056" width="9.109375" style="15"/>
    <col min="13057" max="13057" width="38.6640625" style="15" customWidth="1"/>
    <col min="13058" max="13058" width="16" style="15" customWidth="1"/>
    <col min="13059" max="13059" width="14" style="15" bestFit="1" customWidth="1"/>
    <col min="13060" max="13060" width="15.44140625" style="15" bestFit="1" customWidth="1"/>
    <col min="13061" max="13061" width="16.33203125" style="15" customWidth="1"/>
    <col min="13062" max="13063" width="14" style="15" bestFit="1" customWidth="1"/>
    <col min="13064" max="13064" width="15.6640625" style="15" customWidth="1"/>
    <col min="13065" max="13065" width="13.109375" style="15" bestFit="1" customWidth="1"/>
    <col min="13066" max="13066" width="15.44140625" style="15" customWidth="1"/>
    <col min="13067" max="13067" width="14.33203125" style="15" bestFit="1" customWidth="1"/>
    <col min="13068" max="13068" width="14" style="15" bestFit="1" customWidth="1"/>
    <col min="13069" max="13312" width="9.109375" style="15"/>
    <col min="13313" max="13313" width="38.6640625" style="15" customWidth="1"/>
    <col min="13314" max="13314" width="16" style="15" customWidth="1"/>
    <col min="13315" max="13315" width="14" style="15" bestFit="1" customWidth="1"/>
    <col min="13316" max="13316" width="15.44140625" style="15" bestFit="1" customWidth="1"/>
    <col min="13317" max="13317" width="16.33203125" style="15" customWidth="1"/>
    <col min="13318" max="13319" width="14" style="15" bestFit="1" customWidth="1"/>
    <col min="13320" max="13320" width="15.6640625" style="15" customWidth="1"/>
    <col min="13321" max="13321" width="13.109375" style="15" bestFit="1" customWidth="1"/>
    <col min="13322" max="13322" width="15.44140625" style="15" customWidth="1"/>
    <col min="13323" max="13323" width="14.33203125" style="15" bestFit="1" customWidth="1"/>
    <col min="13324" max="13324" width="14" style="15" bestFit="1" customWidth="1"/>
    <col min="13325" max="13568" width="9.109375" style="15"/>
    <col min="13569" max="13569" width="38.6640625" style="15" customWidth="1"/>
    <col min="13570" max="13570" width="16" style="15" customWidth="1"/>
    <col min="13571" max="13571" width="14" style="15" bestFit="1" customWidth="1"/>
    <col min="13572" max="13572" width="15.44140625" style="15" bestFit="1" customWidth="1"/>
    <col min="13573" max="13573" width="16.33203125" style="15" customWidth="1"/>
    <col min="13574" max="13575" width="14" style="15" bestFit="1" customWidth="1"/>
    <col min="13576" max="13576" width="15.6640625" style="15" customWidth="1"/>
    <col min="13577" max="13577" width="13.109375" style="15" bestFit="1" customWidth="1"/>
    <col min="13578" max="13578" width="15.44140625" style="15" customWidth="1"/>
    <col min="13579" max="13579" width="14.33203125" style="15" bestFit="1" customWidth="1"/>
    <col min="13580" max="13580" width="14" style="15" bestFit="1" customWidth="1"/>
    <col min="13581" max="13824" width="9.109375" style="15"/>
    <col min="13825" max="13825" width="38.6640625" style="15" customWidth="1"/>
    <col min="13826" max="13826" width="16" style="15" customWidth="1"/>
    <col min="13827" max="13827" width="14" style="15" bestFit="1" customWidth="1"/>
    <col min="13828" max="13828" width="15.44140625" style="15" bestFit="1" customWidth="1"/>
    <col min="13829" max="13829" width="16.33203125" style="15" customWidth="1"/>
    <col min="13830" max="13831" width="14" style="15" bestFit="1" customWidth="1"/>
    <col min="13832" max="13832" width="15.6640625" style="15" customWidth="1"/>
    <col min="13833" max="13833" width="13.109375" style="15" bestFit="1" customWidth="1"/>
    <col min="13834" max="13834" width="15.44140625" style="15" customWidth="1"/>
    <col min="13835" max="13835" width="14.33203125" style="15" bestFit="1" customWidth="1"/>
    <col min="13836" max="13836" width="14" style="15" bestFit="1" customWidth="1"/>
    <col min="13837" max="14080" width="9.109375" style="15"/>
    <col min="14081" max="14081" width="38.6640625" style="15" customWidth="1"/>
    <col min="14082" max="14082" width="16" style="15" customWidth="1"/>
    <col min="14083" max="14083" width="14" style="15" bestFit="1" customWidth="1"/>
    <col min="14084" max="14084" width="15.44140625" style="15" bestFit="1" customWidth="1"/>
    <col min="14085" max="14085" width="16.33203125" style="15" customWidth="1"/>
    <col min="14086" max="14087" width="14" style="15" bestFit="1" customWidth="1"/>
    <col min="14088" max="14088" width="15.6640625" style="15" customWidth="1"/>
    <col min="14089" max="14089" width="13.109375" style="15" bestFit="1" customWidth="1"/>
    <col min="14090" max="14090" width="15.44140625" style="15" customWidth="1"/>
    <col min="14091" max="14091" width="14.33203125" style="15" bestFit="1" customWidth="1"/>
    <col min="14092" max="14092" width="14" style="15" bestFit="1" customWidth="1"/>
    <col min="14093" max="14336" width="9.109375" style="15"/>
    <col min="14337" max="14337" width="38.6640625" style="15" customWidth="1"/>
    <col min="14338" max="14338" width="16" style="15" customWidth="1"/>
    <col min="14339" max="14339" width="14" style="15" bestFit="1" customWidth="1"/>
    <col min="14340" max="14340" width="15.44140625" style="15" bestFit="1" customWidth="1"/>
    <col min="14341" max="14341" width="16.33203125" style="15" customWidth="1"/>
    <col min="14342" max="14343" width="14" style="15" bestFit="1" customWidth="1"/>
    <col min="14344" max="14344" width="15.6640625" style="15" customWidth="1"/>
    <col min="14345" max="14345" width="13.109375" style="15" bestFit="1" customWidth="1"/>
    <col min="14346" max="14346" width="15.44140625" style="15" customWidth="1"/>
    <col min="14347" max="14347" width="14.33203125" style="15" bestFit="1" customWidth="1"/>
    <col min="14348" max="14348" width="14" style="15" bestFit="1" customWidth="1"/>
    <col min="14349" max="14592" width="9.109375" style="15"/>
    <col min="14593" max="14593" width="38.6640625" style="15" customWidth="1"/>
    <col min="14594" max="14594" width="16" style="15" customWidth="1"/>
    <col min="14595" max="14595" width="14" style="15" bestFit="1" customWidth="1"/>
    <col min="14596" max="14596" width="15.44140625" style="15" bestFit="1" customWidth="1"/>
    <col min="14597" max="14597" width="16.33203125" style="15" customWidth="1"/>
    <col min="14598" max="14599" width="14" style="15" bestFit="1" customWidth="1"/>
    <col min="14600" max="14600" width="15.6640625" style="15" customWidth="1"/>
    <col min="14601" max="14601" width="13.109375" style="15" bestFit="1" customWidth="1"/>
    <col min="14602" max="14602" width="15.44140625" style="15" customWidth="1"/>
    <col min="14603" max="14603" width="14.33203125" style="15" bestFit="1" customWidth="1"/>
    <col min="14604" max="14604" width="14" style="15" bestFit="1" customWidth="1"/>
    <col min="14605" max="14848" width="9.109375" style="15"/>
    <col min="14849" max="14849" width="38.6640625" style="15" customWidth="1"/>
    <col min="14850" max="14850" width="16" style="15" customWidth="1"/>
    <col min="14851" max="14851" width="14" style="15" bestFit="1" customWidth="1"/>
    <col min="14852" max="14852" width="15.44140625" style="15" bestFit="1" customWidth="1"/>
    <col min="14853" max="14853" width="16.33203125" style="15" customWidth="1"/>
    <col min="14854" max="14855" width="14" style="15" bestFit="1" customWidth="1"/>
    <col min="14856" max="14856" width="15.6640625" style="15" customWidth="1"/>
    <col min="14857" max="14857" width="13.109375" style="15" bestFit="1" customWidth="1"/>
    <col min="14858" max="14858" width="15.44140625" style="15" customWidth="1"/>
    <col min="14859" max="14859" width="14.33203125" style="15" bestFit="1" customWidth="1"/>
    <col min="14860" max="14860" width="14" style="15" bestFit="1" customWidth="1"/>
    <col min="14861" max="15104" width="9.109375" style="15"/>
    <col min="15105" max="15105" width="38.6640625" style="15" customWidth="1"/>
    <col min="15106" max="15106" width="16" style="15" customWidth="1"/>
    <col min="15107" max="15107" width="14" style="15" bestFit="1" customWidth="1"/>
    <col min="15108" max="15108" width="15.44140625" style="15" bestFit="1" customWidth="1"/>
    <col min="15109" max="15109" width="16.33203125" style="15" customWidth="1"/>
    <col min="15110" max="15111" width="14" style="15" bestFit="1" customWidth="1"/>
    <col min="15112" max="15112" width="15.6640625" style="15" customWidth="1"/>
    <col min="15113" max="15113" width="13.109375" style="15" bestFit="1" customWidth="1"/>
    <col min="15114" max="15114" width="15.44140625" style="15" customWidth="1"/>
    <col min="15115" max="15115" width="14.33203125" style="15" bestFit="1" customWidth="1"/>
    <col min="15116" max="15116" width="14" style="15" bestFit="1" customWidth="1"/>
    <col min="15117" max="15360" width="9.109375" style="15"/>
    <col min="15361" max="15361" width="38.6640625" style="15" customWidth="1"/>
    <col min="15362" max="15362" width="16" style="15" customWidth="1"/>
    <col min="15363" max="15363" width="14" style="15" bestFit="1" customWidth="1"/>
    <col min="15364" max="15364" width="15.44140625" style="15" bestFit="1" customWidth="1"/>
    <col min="15365" max="15365" width="16.33203125" style="15" customWidth="1"/>
    <col min="15366" max="15367" width="14" style="15" bestFit="1" customWidth="1"/>
    <col min="15368" max="15368" width="15.6640625" style="15" customWidth="1"/>
    <col min="15369" max="15369" width="13.109375" style="15" bestFit="1" customWidth="1"/>
    <col min="15370" max="15370" width="15.44140625" style="15" customWidth="1"/>
    <col min="15371" max="15371" width="14.33203125" style="15" bestFit="1" customWidth="1"/>
    <col min="15372" max="15372" width="14" style="15" bestFit="1" customWidth="1"/>
    <col min="15373" max="15616" width="9.109375" style="15"/>
    <col min="15617" max="15617" width="38.6640625" style="15" customWidth="1"/>
    <col min="15618" max="15618" width="16" style="15" customWidth="1"/>
    <col min="15619" max="15619" width="14" style="15" bestFit="1" customWidth="1"/>
    <col min="15620" max="15620" width="15.44140625" style="15" bestFit="1" customWidth="1"/>
    <col min="15621" max="15621" width="16.33203125" style="15" customWidth="1"/>
    <col min="15622" max="15623" width="14" style="15" bestFit="1" customWidth="1"/>
    <col min="15624" max="15624" width="15.6640625" style="15" customWidth="1"/>
    <col min="15625" max="15625" width="13.109375" style="15" bestFit="1" customWidth="1"/>
    <col min="15626" max="15626" width="15.44140625" style="15" customWidth="1"/>
    <col min="15627" max="15627" width="14.33203125" style="15" bestFit="1" customWidth="1"/>
    <col min="15628" max="15628" width="14" style="15" bestFit="1" customWidth="1"/>
    <col min="15629" max="15872" width="9.109375" style="15"/>
    <col min="15873" max="15873" width="38.6640625" style="15" customWidth="1"/>
    <col min="15874" max="15874" width="16" style="15" customWidth="1"/>
    <col min="15875" max="15875" width="14" style="15" bestFit="1" customWidth="1"/>
    <col min="15876" max="15876" width="15.44140625" style="15" bestFit="1" customWidth="1"/>
    <col min="15877" max="15877" width="16.33203125" style="15" customWidth="1"/>
    <col min="15878" max="15879" width="14" style="15" bestFit="1" customWidth="1"/>
    <col min="15880" max="15880" width="15.6640625" style="15" customWidth="1"/>
    <col min="15881" max="15881" width="13.109375" style="15" bestFit="1" customWidth="1"/>
    <col min="15882" max="15882" width="15.44140625" style="15" customWidth="1"/>
    <col min="15883" max="15883" width="14.33203125" style="15" bestFit="1" customWidth="1"/>
    <col min="15884" max="15884" width="14" style="15" bestFit="1" customWidth="1"/>
    <col min="15885" max="16128" width="9.109375" style="15"/>
    <col min="16129" max="16129" width="38.6640625" style="15" customWidth="1"/>
    <col min="16130" max="16130" width="16" style="15" customWidth="1"/>
    <col min="16131" max="16131" width="14" style="15" bestFit="1" customWidth="1"/>
    <col min="16132" max="16132" width="15.44140625" style="15" bestFit="1" customWidth="1"/>
    <col min="16133" max="16133" width="16.33203125" style="15" customWidth="1"/>
    <col min="16134" max="16135" width="14" style="15" bestFit="1" customWidth="1"/>
    <col min="16136" max="16136" width="15.6640625" style="15" customWidth="1"/>
    <col min="16137" max="16137" width="13.109375" style="15" bestFit="1" customWidth="1"/>
    <col min="16138" max="16138" width="15.44140625" style="15" customWidth="1"/>
    <col min="16139" max="16139" width="14.33203125" style="15" bestFit="1" customWidth="1"/>
    <col min="16140" max="16140" width="14" style="15" bestFit="1" customWidth="1"/>
    <col min="16141" max="16384" width="9.109375" style="15"/>
  </cols>
  <sheetData>
    <row r="1" spans="1:12">
      <c r="A1" s="404" t="s">
        <v>1373</v>
      </c>
      <c r="B1" s="405"/>
      <c r="C1" s="405"/>
      <c r="D1" s="405"/>
      <c r="E1" s="406" t="s">
        <v>1374</v>
      </c>
      <c r="F1" s="407"/>
      <c r="G1" s="408"/>
      <c r="H1" s="409"/>
      <c r="I1" s="405"/>
      <c r="J1" s="404" t="s">
        <v>1375</v>
      </c>
      <c r="K1" s="409"/>
      <c r="L1" s="405"/>
    </row>
    <row r="2" spans="1:12">
      <c r="A2" s="410"/>
      <c r="B2" s="410"/>
      <c r="C2" s="410"/>
      <c r="D2" s="410"/>
      <c r="E2" s="410"/>
      <c r="F2" s="410"/>
      <c r="G2" s="410"/>
      <c r="H2" s="410"/>
      <c r="I2" s="410"/>
      <c r="J2" s="410"/>
      <c r="K2" s="410"/>
      <c r="L2" s="411"/>
    </row>
    <row r="3" spans="1:12">
      <c r="A3" s="412" t="s">
        <v>1376</v>
      </c>
      <c r="B3" s="413"/>
      <c r="C3" s="414"/>
      <c r="D3" s="410"/>
      <c r="E3" s="415"/>
      <c r="F3" s="416"/>
      <c r="G3" s="416"/>
      <c r="H3" s="417"/>
      <c r="I3" s="410"/>
      <c r="J3" s="410"/>
      <c r="K3" s="410"/>
      <c r="L3" s="411"/>
    </row>
    <row r="4" spans="1:12">
      <c r="A4" s="412"/>
      <c r="B4" s="412"/>
      <c r="C4" s="412"/>
      <c r="D4" s="410"/>
      <c r="E4" s="410" t="s">
        <v>1377</v>
      </c>
      <c r="F4" s="410"/>
      <c r="G4" s="410"/>
      <c r="H4" s="410" t="s">
        <v>1378</v>
      </c>
      <c r="I4" s="410"/>
      <c r="J4" s="410"/>
      <c r="K4" s="410"/>
      <c r="L4" s="411"/>
    </row>
    <row r="5" spans="1:12">
      <c r="A5" s="412"/>
      <c r="B5" s="412"/>
      <c r="C5" s="412"/>
      <c r="D5" s="410"/>
      <c r="E5" s="412" t="s">
        <v>1379</v>
      </c>
      <c r="F5" s="410"/>
      <c r="G5" s="410"/>
      <c r="H5" s="412" t="s">
        <v>1380</v>
      </c>
      <c r="I5" s="410"/>
      <c r="J5" s="410"/>
      <c r="K5" s="410"/>
      <c r="L5" s="411"/>
    </row>
    <row r="6" spans="1:12" ht="15.6">
      <c r="A6" s="412" t="s">
        <v>1381</v>
      </c>
      <c r="B6" s="413"/>
      <c r="C6" s="414"/>
      <c r="D6" s="410"/>
      <c r="E6" s="233" t="s">
        <v>1382</v>
      </c>
      <c r="F6" s="418"/>
      <c r="G6" s="410"/>
      <c r="H6" s="412" t="s">
        <v>1383</v>
      </c>
      <c r="I6" s="410"/>
      <c r="J6" s="410"/>
      <c r="K6" s="410"/>
      <c r="L6" s="411"/>
    </row>
    <row r="7" spans="1:12" ht="15.6">
      <c r="A7" s="412"/>
      <c r="B7" s="412"/>
      <c r="C7" s="412"/>
      <c r="D7" s="410"/>
      <c r="E7" s="233" t="s">
        <v>1384</v>
      </c>
      <c r="F7" s="418"/>
      <c r="G7" s="410"/>
      <c r="H7" s="410"/>
      <c r="I7" s="410"/>
      <c r="J7" s="410"/>
      <c r="K7" s="410"/>
      <c r="L7" s="411"/>
    </row>
    <row r="8" spans="1:12" ht="15.6">
      <c r="A8" s="412"/>
      <c r="B8" s="412"/>
      <c r="C8" s="412"/>
      <c r="D8" s="410"/>
      <c r="E8" s="233" t="s">
        <v>1385</v>
      </c>
      <c r="F8" s="419"/>
      <c r="G8" s="410"/>
      <c r="H8" s="410"/>
      <c r="I8" s="410"/>
      <c r="J8" s="410"/>
      <c r="K8" s="410"/>
      <c r="L8" s="411"/>
    </row>
    <row r="9" spans="1:12">
      <c r="A9" s="412"/>
      <c r="B9" s="412"/>
      <c r="C9" s="412"/>
      <c r="D9" s="410"/>
      <c r="G9" s="410"/>
      <c r="H9" s="410"/>
      <c r="I9" s="410"/>
      <c r="J9" s="410"/>
      <c r="K9" s="410"/>
      <c r="L9" s="411"/>
    </row>
    <row r="10" spans="1:12" ht="13.8">
      <c r="A10" s="412"/>
      <c r="B10" s="412"/>
      <c r="C10" s="412"/>
      <c r="D10" s="410"/>
      <c r="E10" s="420"/>
      <c r="F10" s="419"/>
      <c r="G10" s="410"/>
      <c r="H10" s="410"/>
      <c r="I10" s="410"/>
      <c r="J10" s="410"/>
      <c r="K10" s="410"/>
      <c r="L10" s="411"/>
    </row>
    <row r="11" spans="1:12">
      <c r="A11" s="412" t="s">
        <v>1386</v>
      </c>
      <c r="B11" s="413"/>
      <c r="C11" s="414"/>
      <c r="D11" s="410"/>
      <c r="E11" s="421"/>
      <c r="F11" s="422"/>
      <c r="G11" s="410"/>
      <c r="H11" s="410"/>
      <c r="I11" s="410"/>
      <c r="J11" s="410"/>
      <c r="K11" s="410"/>
      <c r="L11" s="411"/>
    </row>
    <row r="12" spans="1:12">
      <c r="A12" s="412"/>
      <c r="B12" s="412"/>
      <c r="C12" s="412"/>
      <c r="D12" s="410"/>
      <c r="E12" s="418"/>
      <c r="F12" s="418"/>
      <c r="G12" s="410"/>
      <c r="H12" s="410"/>
      <c r="I12" s="410"/>
      <c r="J12" s="410"/>
      <c r="K12" s="410"/>
      <c r="L12" s="411"/>
    </row>
    <row r="13" spans="1:12">
      <c r="A13" s="412"/>
      <c r="B13" s="412"/>
      <c r="C13" s="412"/>
      <c r="D13" s="410"/>
      <c r="E13" s="418"/>
      <c r="F13" s="418"/>
      <c r="G13" s="410"/>
      <c r="H13" s="410"/>
      <c r="I13" s="410"/>
      <c r="J13" s="410"/>
      <c r="K13" s="410"/>
      <c r="L13" s="411"/>
    </row>
    <row r="14" spans="1:12">
      <c r="A14" s="17" t="s">
        <v>1387</v>
      </c>
      <c r="B14" s="412"/>
      <c r="C14" s="412"/>
      <c r="D14" s="410"/>
      <c r="E14" s="418"/>
      <c r="F14" s="418"/>
      <c r="G14" s="410"/>
      <c r="H14" s="410"/>
      <c r="I14" s="410"/>
      <c r="J14" s="410"/>
      <c r="K14" s="410"/>
      <c r="L14" s="411"/>
    </row>
    <row r="15" spans="1:12">
      <c r="A15" s="410"/>
      <c r="B15" s="412"/>
      <c r="C15" s="412"/>
      <c r="D15" s="410"/>
      <c r="E15" s="418"/>
      <c r="F15" s="418"/>
      <c r="G15" s="410"/>
      <c r="H15" s="410"/>
      <c r="I15" s="410"/>
      <c r="J15" s="410"/>
      <c r="K15" s="410"/>
      <c r="L15" s="411"/>
    </row>
    <row r="16" spans="1:12">
      <c r="A16" s="412"/>
      <c r="B16" s="412"/>
      <c r="C16" s="412"/>
      <c r="D16" s="410"/>
      <c r="E16" s="410"/>
      <c r="F16" s="410"/>
      <c r="G16" s="410"/>
      <c r="H16" s="410"/>
      <c r="I16" s="410"/>
      <c r="J16" s="410"/>
      <c r="K16" s="410"/>
      <c r="L16" s="411"/>
    </row>
    <row r="17" spans="1:12">
      <c r="A17" s="423"/>
      <c r="B17" s="424" t="s">
        <v>1388</v>
      </c>
      <c r="C17" s="424"/>
      <c r="D17" s="424" t="s">
        <v>1389</v>
      </c>
      <c r="E17" s="424"/>
      <c r="F17" s="424"/>
      <c r="G17" s="424"/>
      <c r="H17" s="425" t="s">
        <v>1390</v>
      </c>
      <c r="I17" s="426"/>
      <c r="J17" s="427" t="s">
        <v>1391</v>
      </c>
      <c r="K17" s="424"/>
      <c r="L17" s="424" t="s">
        <v>1056</v>
      </c>
    </row>
    <row r="18" spans="1:12">
      <c r="A18" s="428"/>
      <c r="B18" s="429" t="s">
        <v>1392</v>
      </c>
      <c r="C18" s="429" t="s">
        <v>1393</v>
      </c>
      <c r="D18" s="429" t="s">
        <v>1391</v>
      </c>
      <c r="E18" s="429" t="s">
        <v>1394</v>
      </c>
      <c r="F18" s="429" t="s">
        <v>1395</v>
      </c>
      <c r="G18" s="429" t="s">
        <v>1396</v>
      </c>
      <c r="H18" s="429" t="s">
        <v>1397</v>
      </c>
      <c r="I18" s="430" t="s">
        <v>1398</v>
      </c>
      <c r="J18" s="429" t="s">
        <v>1315</v>
      </c>
      <c r="K18" s="429" t="s">
        <v>192</v>
      </c>
      <c r="L18" s="429" t="s">
        <v>1399</v>
      </c>
    </row>
    <row r="19" spans="1:12">
      <c r="A19" s="428"/>
      <c r="B19" s="429" t="s">
        <v>1400</v>
      </c>
      <c r="C19" s="429" t="s">
        <v>1400</v>
      </c>
      <c r="D19" s="429" t="s">
        <v>1400</v>
      </c>
      <c r="E19" s="429" t="s">
        <v>1400</v>
      </c>
      <c r="F19" s="429" t="s">
        <v>1400</v>
      </c>
      <c r="G19" s="429" t="s">
        <v>1400</v>
      </c>
      <c r="H19" s="429" t="s">
        <v>1400</v>
      </c>
      <c r="I19" s="429" t="s">
        <v>1400</v>
      </c>
      <c r="J19" s="429" t="s">
        <v>1400</v>
      </c>
      <c r="K19" s="429" t="s">
        <v>1400</v>
      </c>
      <c r="L19" s="429" t="s">
        <v>1400</v>
      </c>
    </row>
    <row r="20" spans="1:12">
      <c r="A20" s="431" t="s">
        <v>1401</v>
      </c>
      <c r="B20" s="432" t="s">
        <v>1402</v>
      </c>
      <c r="C20" s="432" t="s">
        <v>1402</v>
      </c>
      <c r="D20" s="432" t="s">
        <v>1402</v>
      </c>
      <c r="E20" s="432" t="s">
        <v>1402</v>
      </c>
      <c r="F20" s="432" t="s">
        <v>1402</v>
      </c>
      <c r="G20" s="432" t="s">
        <v>1402</v>
      </c>
      <c r="H20" s="432" t="s">
        <v>1402</v>
      </c>
      <c r="I20" s="432" t="s">
        <v>1402</v>
      </c>
      <c r="J20" s="432" t="s">
        <v>1402</v>
      </c>
      <c r="K20" s="432" t="s">
        <v>1402</v>
      </c>
      <c r="L20" s="432" t="s">
        <v>1402</v>
      </c>
    </row>
    <row r="21" spans="1:12">
      <c r="A21" s="433" t="s">
        <v>1403</v>
      </c>
      <c r="B21" s="434"/>
      <c r="C21" s="434">
        <f>'III-B - #11619'!C$35</f>
        <v>0</v>
      </c>
      <c r="D21" s="434">
        <f>'III-C 1 - #12019'!C$35</f>
        <v>0</v>
      </c>
      <c r="E21" s="434">
        <f>'III-C2 - #12119'!C$35</f>
        <v>0</v>
      </c>
      <c r="F21" s="434">
        <f>'III-D - #12419'!C$35</f>
        <v>0</v>
      </c>
      <c r="G21" s="434">
        <f>'III-E - #12519'!C$38</f>
        <v>0</v>
      </c>
      <c r="H21" s="434">
        <f>'SCS - #11519'!C$35</f>
        <v>0</v>
      </c>
      <c r="I21" s="434">
        <f>'Ben Spec Other Repl - #73019'!C$35+'Benefit Spec I&amp;A Repl #72019'!C$35+'EBS OCI Repl (SPAP)18-19-#13019'!C$35+'EBS OCI Repl 18-19-#74009 75010'!C$35+'EBS OCI Repl-Othr 18-19-#75009'!C$35+'SHIP Original 18-19 - #12719'!C$35+'MIPPA 18-19 - #75019'!C$35</f>
        <v>0</v>
      </c>
      <c r="J21" s="434">
        <f>'Elder Abuse - #12319'!C$35</f>
        <v>0</v>
      </c>
      <c r="K21" s="434">
        <f>'Alzheimers FC Support - #12219'!C$35</f>
        <v>0</v>
      </c>
      <c r="L21" s="434">
        <f>'NSIP 18-19 - #13219'!C35+'NSIP 17-18 - #13218'!C35</f>
        <v>0</v>
      </c>
    </row>
    <row r="22" spans="1:12">
      <c r="A22" s="435" t="s">
        <v>1404</v>
      </c>
      <c r="B22" s="436"/>
      <c r="C22" s="434">
        <f>'III-B - #11619'!D$35</f>
        <v>0</v>
      </c>
      <c r="D22" s="434">
        <f>'III-C 1 - #12019'!D$35</f>
        <v>0</v>
      </c>
      <c r="E22" s="434">
        <f>'III-C2 - #12119'!D$35</f>
        <v>0</v>
      </c>
      <c r="F22" s="434">
        <f>'III-D - #12419'!D$35</f>
        <v>0</v>
      </c>
      <c r="G22" s="434">
        <f>'III-E - #12519'!D$38</f>
        <v>0</v>
      </c>
      <c r="H22" s="434">
        <f>'SCS - #11519'!D$35</f>
        <v>0</v>
      </c>
      <c r="I22" s="434">
        <f>'Ben Spec Other Repl - #73019'!D$35+'Benefit Spec I&amp;A Repl #72019'!D$35+'EBS OCI Repl (SPAP)18-19-#13019'!D$35+'EBS OCI Repl 18-19-#74009 75010'!D$35+'EBS OCI Repl-Othr 18-19-#75009'!D$35+'SHIP Original 18-19 - #12719'!D$35+'MIPPA 18-19 - #75019'!D$35</f>
        <v>0</v>
      </c>
      <c r="J22" s="437"/>
      <c r="K22" s="437"/>
      <c r="L22" s="437"/>
    </row>
    <row r="23" spans="1:12">
      <c r="A23" s="435" t="s">
        <v>1405</v>
      </c>
      <c r="B23" s="434"/>
      <c r="C23" s="434">
        <f>'III-B - #11619'!E$35</f>
        <v>0</v>
      </c>
      <c r="D23" s="434">
        <f>'III-C 1 - #12019'!E$35</f>
        <v>0</v>
      </c>
      <c r="E23" s="434">
        <f>'III-C2 - #12119'!E$35</f>
        <v>0</v>
      </c>
      <c r="F23" s="434">
        <f>'III-D - #12419'!E$35</f>
        <v>0</v>
      </c>
      <c r="G23" s="434">
        <f>'III-E - #12519'!E$38</f>
        <v>0</v>
      </c>
      <c r="H23" s="434">
        <f>'SCS - #11519'!E$35</f>
        <v>0</v>
      </c>
      <c r="I23" s="434">
        <f>'Ben Spec Other Repl - #73019'!E$35+'Benefit Spec I&amp;A Repl #72019'!E$35+'EBS OCI Repl (SPAP)18-19-#13019'!E$35+'EBS OCI Repl 18-19-#74009 75010'!E$35+'EBS OCI Repl-Othr 18-19-#75009'!E$35+'SHIP Original 18-19 - #12719'!E$35+'MIPPA 18-19 - #75019'!E$35</f>
        <v>0</v>
      </c>
      <c r="J23" s="437"/>
      <c r="K23" s="437"/>
      <c r="L23" s="437"/>
    </row>
    <row r="24" spans="1:12">
      <c r="A24" s="435" t="s">
        <v>1406</v>
      </c>
      <c r="B24" s="438" t="str">
        <f>IF(B21&lt;1,"",IF((B22+B23)&gt;=0.25*(B21+B22+B23),"YES","NO"))</f>
        <v/>
      </c>
      <c r="C24" s="438" t="str">
        <f>IF(C21&lt;1,"",IF((C22+C23)&gt;=0.1*(C21+C22+C23),"YES","NO"))</f>
        <v/>
      </c>
      <c r="D24" s="438" t="str">
        <f>IF(D21&lt;1,"",IF((D22+D23)&gt;=0.1*(D21+D22+D23),"YES","NO"))</f>
        <v/>
      </c>
      <c r="E24" s="438" t="str">
        <f>IF(E21&lt;1,"",IF((E22+E23)&gt;=0.1*(E21+E22+E23),"YES","NO"))</f>
        <v/>
      </c>
      <c r="F24" s="438" t="str">
        <f>IF(F21&lt;1,"",IF((F22+F23)&gt;=0.1*(F21+F22+F23),"YES","NO"))</f>
        <v/>
      </c>
      <c r="G24" s="438" t="str">
        <f>IF(G21&lt;1,"",IF((G22+G23)&gt;=0.25*(G21+G22+G23),"YES","NO"))</f>
        <v/>
      </c>
      <c r="H24" s="438" t="str">
        <f>IF(H21&lt;1,"",IF((H22+H23)&gt;=0.1*(H21+H22+H23),"YES","NO"))</f>
        <v/>
      </c>
      <c r="I24" s="438" t="str">
        <f>IF(I21&lt;1,"",IF((I22+I23)&gt;=0.1*(I21+I22+I23),"YES","NO"))</f>
        <v/>
      </c>
      <c r="J24" s="439"/>
      <c r="K24" s="439"/>
      <c r="L24" s="439"/>
    </row>
    <row r="25" spans="1:12">
      <c r="A25" s="435" t="s">
        <v>1407</v>
      </c>
      <c r="B25" s="434"/>
      <c r="C25" s="434">
        <f>'III-B - #11619'!F$35</f>
        <v>0</v>
      </c>
      <c r="D25" s="434">
        <f>'III-C 1 - #12019'!F$35</f>
        <v>0</v>
      </c>
      <c r="E25" s="434">
        <f>'III-C2 - #12119'!F$35</f>
        <v>0</v>
      </c>
      <c r="F25" s="434">
        <f>'III-D - #12419'!F$35</f>
        <v>0</v>
      </c>
      <c r="G25" s="434">
        <f>'III-E - #12519'!F$38</f>
        <v>0</v>
      </c>
      <c r="H25" s="434">
        <f>'SCS - #11519'!F$35</f>
        <v>0</v>
      </c>
      <c r="I25" s="440">
        <f>'Ben Spec Other Repl - #73019'!F$35+'Benefit Spec I&amp;A Repl #72019'!F$35+'EBS OCI Repl (SPAP)18-19-#13019'!F$35+'EBS OCI Repl 18-19-#74009 75010'!F$35+'EBS OCI Repl-Othr 18-19-#75009'!F$35+'SHIP Original 18-19 - #12719'!F$35+'MIPPA 18-19 - #75019'!F$35</f>
        <v>0</v>
      </c>
      <c r="J25" s="434">
        <f>'Elder Abuse - #12319'!F$35</f>
        <v>0</v>
      </c>
      <c r="K25" s="434">
        <f>'Alzheimers FC Support - #12219'!F$35</f>
        <v>0</v>
      </c>
      <c r="L25" s="439"/>
    </row>
    <row r="26" spans="1:12">
      <c r="A26" s="435" t="s">
        <v>1408</v>
      </c>
      <c r="B26" s="434"/>
      <c r="C26" s="434">
        <f>'III-B - #11619'!G$35</f>
        <v>0</v>
      </c>
      <c r="D26" s="434">
        <f>'III-C 1 - #12019'!G$35</f>
        <v>0</v>
      </c>
      <c r="E26" s="434">
        <f>'III-C2 - #12119'!G$35</f>
        <v>0</v>
      </c>
      <c r="F26" s="434">
        <f>'III-D - #12419'!G$35</f>
        <v>0</v>
      </c>
      <c r="G26" s="434">
        <f>'III-E - #12519'!G$38</f>
        <v>0</v>
      </c>
      <c r="H26" s="434">
        <f>'SCS - #11519'!G$35</f>
        <v>0</v>
      </c>
      <c r="I26" s="440">
        <f>'Ben Spec Other Repl - #73019'!G$35+'Benefit Spec I&amp;A Repl #72019'!G$35+'EBS OCI Repl (SPAP)18-19-#13019'!G$35+'EBS OCI Repl 18-19-#74009 75010'!G$35+'EBS OCI Repl-Othr 18-19-#75009'!G$35+'SHIP Original 18-19 - #12719'!G$35+'MIPPA 18-19 - #75019'!G$35</f>
        <v>0</v>
      </c>
      <c r="J26" s="434">
        <f>'Elder Abuse - #12319'!G$35</f>
        <v>0</v>
      </c>
      <c r="K26" s="434">
        <f>'Alzheimers FC Support - #12219'!G$35</f>
        <v>0</v>
      </c>
      <c r="L26" s="439"/>
    </row>
    <row r="27" spans="1:12">
      <c r="A27" s="435" t="s">
        <v>1409</v>
      </c>
      <c r="B27" s="434"/>
      <c r="C27" s="434">
        <f>'III-B - #11619'!H$35</f>
        <v>0</v>
      </c>
      <c r="D27" s="434">
        <f>'III-C 1 - #12019'!H$35</f>
        <v>0</v>
      </c>
      <c r="E27" s="434">
        <f>'III-C2 - #12119'!H$35</f>
        <v>0</v>
      </c>
      <c r="F27" s="434">
        <f>'III-D - #12419'!H$35</f>
        <v>0</v>
      </c>
      <c r="G27" s="434">
        <f>'III-E - #12519'!H$38</f>
        <v>0</v>
      </c>
      <c r="H27" s="440">
        <f>'SCS - #11519'!H$35</f>
        <v>0</v>
      </c>
      <c r="I27" s="440">
        <f>'Ben Spec Other Repl - #73019'!H$35+'Benefit Spec I&amp;A Repl #72019'!H$35+'EBS OCI Repl (SPAP)18-19-#13019'!H$35+'EBS OCI Repl 18-19-#74009 75010'!H$35+'EBS OCI Repl-Othr 18-19-#75009'!H$35+'SHIP Original 18-19 - #12719'!H$35+'MIPPA 18-19 - #75019'!H$35</f>
        <v>0</v>
      </c>
      <c r="J27" s="440">
        <f>'Elder Abuse - #12319'!H$35</f>
        <v>0</v>
      </c>
      <c r="K27" s="434">
        <f>'Alzheimers FC Support - #12219'!H$35</f>
        <v>0</v>
      </c>
      <c r="L27" s="439"/>
    </row>
    <row r="28" spans="1:12">
      <c r="A28" s="435" t="s">
        <v>1410</v>
      </c>
      <c r="B28" s="434"/>
      <c r="C28" s="434">
        <f>'III-B - #11619'!I$35</f>
        <v>0</v>
      </c>
      <c r="D28" s="434">
        <f>'III-C 1 - #12019'!I$35</f>
        <v>0</v>
      </c>
      <c r="E28" s="434">
        <f>'III-C2 - #12119'!I$35</f>
        <v>0</v>
      </c>
      <c r="F28" s="434">
        <f>'III-D - #12419'!I$35</f>
        <v>0</v>
      </c>
      <c r="G28" s="434">
        <f>'III-E - #12519'!I$38</f>
        <v>0</v>
      </c>
      <c r="H28" s="434">
        <f>'SCS - #11519'!I$35</f>
        <v>0</v>
      </c>
      <c r="I28" s="434">
        <f>'Ben Spec Other Repl - #73019'!I$35+'Benefit Spec I&amp;A Repl #72019'!I$35+'EBS OCI Repl (SPAP)18-19-#13019'!I$35+'EBS OCI Repl 18-19-#74009 75010'!I$35+'EBS OCI Repl-Othr 18-19-#75009'!I$35+'SHIP Original 18-19 - #12719'!I$35+'MIPPA 18-19 - #75019'!I$35</f>
        <v>0</v>
      </c>
      <c r="J28" s="434">
        <f>'Elder Abuse - #12319'!I$35</f>
        <v>0</v>
      </c>
      <c r="K28" s="434">
        <f>'Alzheimers FC Support - #12219'!I$35</f>
        <v>0</v>
      </c>
      <c r="L28" s="439"/>
    </row>
    <row r="29" spans="1:12">
      <c r="A29" s="435" t="s">
        <v>1411</v>
      </c>
      <c r="B29" s="434"/>
      <c r="C29" s="434">
        <f>'III-B - #11619'!J$35</f>
        <v>0</v>
      </c>
      <c r="D29" s="434">
        <f>'III-C 1 - #12019'!J$35</f>
        <v>0</v>
      </c>
      <c r="E29" s="434">
        <f>'III-C2 - #12119'!J$35</f>
        <v>0</v>
      </c>
      <c r="F29" s="434">
        <f>'III-D - #12419'!J$35</f>
        <v>0</v>
      </c>
      <c r="G29" s="434">
        <f>'III-E - #12519'!J$38</f>
        <v>0</v>
      </c>
      <c r="H29" s="434">
        <f>'SCS - #11519'!J$35</f>
        <v>0</v>
      </c>
      <c r="I29" s="434">
        <f>'Ben Spec Other Repl - #73019'!J$35+'Benefit Spec I&amp;A Repl #72019'!J$35+'EBS OCI Repl (SPAP)18-19-#13019'!J$35+'EBS OCI Repl 18-19-#74009 75010'!J$35+'EBS OCI Repl-Othr 18-19-#75009'!J$35+'SHIP Original 18-19 - #12719'!J$35+'MIPPA 18-19 - #75019'!J$35</f>
        <v>0</v>
      </c>
      <c r="J29" s="434">
        <f>'Elder Abuse - #12319'!J$35</f>
        <v>0</v>
      </c>
      <c r="K29" s="434">
        <f>'Alzheimers FC Support - #12219'!J$35</f>
        <v>0</v>
      </c>
      <c r="L29" s="439"/>
    </row>
    <row r="30" spans="1:12">
      <c r="A30" s="435" t="s">
        <v>327</v>
      </c>
      <c r="B30" s="434"/>
      <c r="C30" s="434">
        <f>'III-B - #11619'!K$35</f>
        <v>0</v>
      </c>
      <c r="D30" s="434">
        <f>'III-C 1 - #12019'!K$35</f>
        <v>0</v>
      </c>
      <c r="E30" s="434">
        <f>'III-C2 - #12119'!K$35</f>
        <v>0</v>
      </c>
      <c r="F30" s="434">
        <f>'III-D - #12419'!K$35</f>
        <v>0</v>
      </c>
      <c r="G30" s="434">
        <f>'III-E - #12519'!K$38</f>
        <v>0</v>
      </c>
      <c r="H30" s="434">
        <f>'SCS - #11519'!K$35</f>
        <v>0</v>
      </c>
      <c r="I30" s="434">
        <f>'Ben Spec Other Repl - #73019'!K$35+'Benefit Spec I&amp;A Repl #72019'!K$35+'EBS OCI Repl (SPAP)18-19-#13019'!K$35+'EBS OCI Repl 18-19-#74009 75010'!K$35+'EBS OCI Repl-Othr 18-19-#75009'!K$35+'SHIP Original 18-19 - #12719'!K$35+'MIPPA 18-19 - #75019'!K$35</f>
        <v>0</v>
      </c>
      <c r="J30" s="434">
        <f>'Elder Abuse - #12319'!K$35</f>
        <v>0</v>
      </c>
      <c r="K30" s="434">
        <f>'Alzheimers FC Support - #12219'!K$35</f>
        <v>0</v>
      </c>
      <c r="L30" s="439"/>
    </row>
    <row r="31" spans="1:12">
      <c r="A31" s="435" t="s">
        <v>1412</v>
      </c>
      <c r="B31" s="440"/>
      <c r="C31" s="434">
        <f>'III-B - #11619'!L$35</f>
        <v>0</v>
      </c>
      <c r="D31" s="434">
        <f>'III-C 1 - #12019'!L$35</f>
        <v>0</v>
      </c>
      <c r="E31" s="434">
        <f>'III-C2 - #12119'!L$35</f>
        <v>0</v>
      </c>
      <c r="F31" s="434">
        <f>'III-D - #12419'!L$35</f>
        <v>0</v>
      </c>
      <c r="G31" s="434">
        <f>'III-E - #12519'!L$38</f>
        <v>0</v>
      </c>
      <c r="H31" s="434">
        <f>'SCS - #11519'!L$35</f>
        <v>0</v>
      </c>
      <c r="I31" s="434">
        <f>'Ben Spec Other Repl - #73019'!L$35+'Benefit Spec I&amp;A Repl #72019'!L$35+'EBS OCI Repl (SPAP)18-19-#13019'!L$35+'EBS OCI Repl 18-19-#74009 75010'!L$35+'EBS OCI Repl-Othr 18-19-#75009'!L$35+'SHIP Original 18-19 - #12719'!L$35+'MIPPA 18-19 - #75019'!L$35</f>
        <v>0</v>
      </c>
      <c r="J31" s="434">
        <f>'Elder Abuse - #12319'!L$35</f>
        <v>0</v>
      </c>
      <c r="K31" s="434">
        <f>'Alzheimers FC Support - #12219'!L$35</f>
        <v>0</v>
      </c>
      <c r="L31" s="439"/>
    </row>
    <row r="32" spans="1:12">
      <c r="A32" s="441" t="s">
        <v>1413</v>
      </c>
      <c r="B32" s="442">
        <f t="shared" ref="B32:L32" si="0">SUM(B21:B31)-B28-B30</f>
        <v>0</v>
      </c>
      <c r="C32" s="438">
        <f t="shared" si="0"/>
        <v>0</v>
      </c>
      <c r="D32" s="438">
        <f t="shared" si="0"/>
        <v>0</v>
      </c>
      <c r="E32" s="438">
        <f t="shared" si="0"/>
        <v>0</v>
      </c>
      <c r="F32" s="438">
        <f t="shared" si="0"/>
        <v>0</v>
      </c>
      <c r="G32" s="438">
        <f t="shared" si="0"/>
        <v>0</v>
      </c>
      <c r="H32" s="438">
        <f>SUM(H21:H31)-H28-H30</f>
        <v>0</v>
      </c>
      <c r="I32" s="438">
        <f t="shared" si="0"/>
        <v>0</v>
      </c>
      <c r="J32" s="438">
        <f>SUM(J21:J31)-J28-J30</f>
        <v>0</v>
      </c>
      <c r="K32" s="438">
        <f>SUM(K21:K31)-K28-K30</f>
        <v>0</v>
      </c>
      <c r="L32" s="438">
        <f t="shared" si="0"/>
        <v>0</v>
      </c>
    </row>
    <row r="33" spans="1:12">
      <c r="A33" s="405"/>
      <c r="B33" s="405"/>
      <c r="C33" s="405"/>
      <c r="D33" s="405"/>
      <c r="E33" s="405"/>
      <c r="F33" s="405"/>
      <c r="G33" s="405"/>
      <c r="H33" s="405"/>
      <c r="I33" s="405"/>
      <c r="J33" s="405"/>
      <c r="K33" s="405"/>
      <c r="L33" s="405"/>
    </row>
    <row r="34" spans="1:12">
      <c r="A34" s="405"/>
      <c r="B34" s="405"/>
      <c r="C34" s="405"/>
      <c r="D34" s="405"/>
      <c r="E34" s="405"/>
      <c r="F34" s="405"/>
      <c r="G34" s="405"/>
      <c r="H34" s="405"/>
      <c r="I34" s="405"/>
      <c r="J34" s="405"/>
      <c r="K34" s="405"/>
      <c r="L34" s="405"/>
    </row>
    <row r="35" spans="1:12">
      <c r="A35" s="405"/>
      <c r="B35" s="405"/>
      <c r="C35" s="405"/>
      <c r="D35" s="405"/>
      <c r="E35" s="405"/>
      <c r="F35" s="405"/>
      <c r="G35" s="405"/>
      <c r="H35" s="405"/>
      <c r="I35" s="405"/>
      <c r="J35" s="405"/>
      <c r="K35" s="405"/>
      <c r="L35" s="405"/>
    </row>
    <row r="36" spans="1:12">
      <c r="A36" s="410" t="s">
        <v>1414</v>
      </c>
      <c r="B36" s="410"/>
      <c r="C36" s="410"/>
      <c r="D36" s="410"/>
      <c r="E36" s="410"/>
      <c r="F36" s="410"/>
      <c r="G36" s="410"/>
      <c r="H36" s="410"/>
      <c r="I36" s="410" t="s">
        <v>1415</v>
      </c>
      <c r="J36" s="443"/>
      <c r="K36" s="422"/>
      <c r="L36" s="418"/>
    </row>
    <row r="37" spans="1:12">
      <c r="A37" s="410" t="s">
        <v>1416</v>
      </c>
      <c r="B37" s="410"/>
      <c r="C37" s="410"/>
      <c r="D37" s="410"/>
      <c r="E37" s="410"/>
      <c r="F37" s="410"/>
      <c r="G37" s="410" t="s">
        <v>1056</v>
      </c>
      <c r="H37" s="410"/>
      <c r="I37" s="410" t="s">
        <v>1417</v>
      </c>
      <c r="J37" s="451"/>
      <c r="K37" s="422"/>
      <c r="L37" s="418"/>
    </row>
    <row r="38" spans="1:12">
      <c r="A38" s="410" t="s">
        <v>1418</v>
      </c>
      <c r="B38" s="410"/>
      <c r="C38" s="410"/>
      <c r="D38" s="410"/>
      <c r="E38" s="410"/>
      <c r="F38" s="410"/>
      <c r="G38" s="410"/>
      <c r="H38" s="410"/>
      <c r="I38" s="410" t="s">
        <v>1419</v>
      </c>
      <c r="J38" s="421"/>
      <c r="K38" s="422"/>
      <c r="L38" s="418"/>
    </row>
    <row r="39" spans="1:12">
      <c r="A39" s="410"/>
      <c r="B39" s="410"/>
      <c r="C39" s="410"/>
      <c r="D39" s="410"/>
      <c r="E39" s="410"/>
      <c r="F39" s="410"/>
      <c r="G39" s="410"/>
      <c r="H39" s="410"/>
      <c r="I39" s="410" t="s">
        <v>0</v>
      </c>
      <c r="J39" s="421"/>
      <c r="K39" s="422"/>
      <c r="L39" s="418"/>
    </row>
    <row r="40" spans="1:12">
      <c r="A40" s="410"/>
      <c r="B40" s="410"/>
      <c r="C40" s="410"/>
      <c r="D40" s="410"/>
      <c r="E40" s="410"/>
      <c r="F40" s="410"/>
      <c r="G40" s="410"/>
      <c r="H40" s="410"/>
      <c r="I40" s="410"/>
      <c r="J40" s="418"/>
      <c r="K40" s="418"/>
      <c r="L40" s="418"/>
    </row>
    <row r="41" spans="1:12">
      <c r="A41" s="410"/>
      <c r="B41" s="410"/>
      <c r="C41" s="410"/>
      <c r="D41" s="410"/>
      <c r="E41" s="410"/>
      <c r="F41" s="410"/>
      <c r="G41" s="410"/>
      <c r="H41" s="410"/>
      <c r="I41" s="410"/>
      <c r="J41" s="418"/>
      <c r="K41" s="418"/>
      <c r="L41" s="418"/>
    </row>
    <row r="42" spans="1:12">
      <c r="A42" s="410"/>
      <c r="B42" s="410"/>
      <c r="C42" s="410"/>
      <c r="D42" s="410"/>
      <c r="E42" s="410"/>
      <c r="F42" s="410"/>
      <c r="G42" s="410"/>
      <c r="H42" s="410"/>
      <c r="I42" s="410"/>
      <c r="J42" s="418"/>
      <c r="K42" s="418"/>
      <c r="L42" s="418"/>
    </row>
    <row r="43" spans="1:12">
      <c r="A43" s="410"/>
      <c r="B43" s="410"/>
      <c r="C43" s="410"/>
      <c r="D43" s="410"/>
      <c r="E43" s="410"/>
      <c r="F43" s="410"/>
      <c r="G43" s="410"/>
      <c r="H43" s="410"/>
      <c r="I43" s="410"/>
      <c r="J43" s="418"/>
      <c r="K43" s="418"/>
      <c r="L43" s="418"/>
    </row>
    <row r="44" spans="1:12">
      <c r="A44" s="410"/>
      <c r="B44" s="410"/>
      <c r="C44" s="410"/>
      <c r="D44" s="410"/>
      <c r="E44" s="410"/>
      <c r="F44" s="410"/>
      <c r="G44" s="410"/>
      <c r="H44" s="410"/>
      <c r="I44" s="410"/>
      <c r="J44" s="418"/>
      <c r="K44" s="418"/>
      <c r="L44" s="418"/>
    </row>
  </sheetData>
  <sheetProtection password="C3C4" sheet="1" objects="1" scenarios="1"/>
  <conditionalFormatting sqref="B18:I18">
    <cfRule type="containsText" dxfId="0" priority="1" operator="containsText" text="NO">
      <formula>NOT(ISERROR(SEARCH("NO",B18)))</formula>
    </cfRule>
  </conditionalFormatting>
  <pageMargins left="0.7" right="0.7" top="0.75" bottom="0.75" header="0.3" footer="0.3"/>
  <pageSetup orientation="portrait" r:id="rId1"/>
  <ignoredErrors>
    <ignoredError sqref="C22:L23 C31:J31 C24:F24 I24:L24 C21:J21 C25:H25 L25 C27:J27 L26:L27 C28:J28 L28 C29:J29 L29 C30:J30 L30 L31 C26:G26 J25" unlockedFormula="1"/>
    <ignoredError sqref="G24" formula="1" unlockedFormula="1"/>
  </ignoredError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8439D-E8F0-45A6-B4BC-1F9478A4FBC6}">
  <sheetPr>
    <tabColor theme="8" tint="0.39997558519241921"/>
  </sheetPr>
  <dimension ref="A1:I77"/>
  <sheetViews>
    <sheetView workbookViewId="0">
      <selection activeCell="F15" sqref="F15"/>
    </sheetView>
  </sheetViews>
  <sheetFormatPr defaultColWidth="8.88671875" defaultRowHeight="13.2"/>
  <cols>
    <col min="1" max="1" width="22.88671875" style="15" customWidth="1"/>
    <col min="2" max="9" width="15.6640625" style="15" customWidth="1"/>
    <col min="10" max="16384" width="8.88671875" style="15"/>
  </cols>
  <sheetData>
    <row r="1" spans="1:9">
      <c r="A1" s="384"/>
      <c r="B1" s="385"/>
      <c r="E1" s="385"/>
      <c r="F1" s="385"/>
      <c r="G1" s="385"/>
    </row>
    <row r="2" spans="1:9">
      <c r="A2" s="398" t="s">
        <v>1420</v>
      </c>
      <c r="B2" s="386"/>
      <c r="E2" s="386"/>
      <c r="F2" s="386"/>
      <c r="G2" s="386"/>
    </row>
    <row r="3" spans="1:9">
      <c r="A3" s="387"/>
      <c r="B3" s="388"/>
      <c r="E3" s="388"/>
      <c r="F3" s="388"/>
      <c r="G3" s="388"/>
    </row>
    <row r="4" spans="1:9" ht="39.6">
      <c r="A4" s="395" t="s">
        <v>1421</v>
      </c>
      <c r="B4" s="395" t="s">
        <v>186</v>
      </c>
      <c r="C4" s="395" t="s">
        <v>1422</v>
      </c>
      <c r="D4" s="395" t="s">
        <v>1423</v>
      </c>
      <c r="E4" s="395" t="s">
        <v>1424</v>
      </c>
      <c r="F4" s="395" t="s">
        <v>1425</v>
      </c>
      <c r="G4" s="395" t="s">
        <v>1426</v>
      </c>
      <c r="H4" s="395" t="s">
        <v>1427</v>
      </c>
      <c r="I4" s="395" t="s">
        <v>210</v>
      </c>
    </row>
    <row r="5" spans="1:9">
      <c r="A5" s="389" t="s">
        <v>369</v>
      </c>
      <c r="B5" s="486">
        <f>'III-B - #11619'!C11</f>
        <v>0</v>
      </c>
      <c r="C5" s="486">
        <f>'III-B - #11619'!D11+'SCS - #11519'!D11</f>
        <v>0</v>
      </c>
      <c r="D5" s="486">
        <f>'III-B - #11619'!E11+'SCS - #11519'!E11</f>
        <v>0</v>
      </c>
      <c r="E5" s="486">
        <f>'III-B - #11619'!F11+'SCS - #11519'!F11</f>
        <v>0</v>
      </c>
      <c r="F5" s="486">
        <f>'III-B - #11619'!G11+'SCS - #11519'!C11+'SCS - #11519'!G11</f>
        <v>0</v>
      </c>
      <c r="G5" s="486">
        <f>'III-B - #11619'!H11+'SCS - #11519'!H11</f>
        <v>0</v>
      </c>
      <c r="H5" s="486">
        <f>'III-B - #11619'!J11+'III-B - #11619'!L11+'SCS - #11519'!J11+'SCS - #11519'!L11</f>
        <v>0</v>
      </c>
      <c r="I5" s="487">
        <f t="shared" ref="I5:I35" si="0">+SUM(B5:H5)</f>
        <v>0</v>
      </c>
    </row>
    <row r="6" spans="1:9">
      <c r="A6" s="389" t="s">
        <v>377</v>
      </c>
      <c r="B6" s="486">
        <f>'III-B - #11619'!C12</f>
        <v>0</v>
      </c>
      <c r="C6" s="486">
        <f>'III-B - #11619'!D12+'SCS - #11519'!D12</f>
        <v>0</v>
      </c>
      <c r="D6" s="486">
        <f>'III-B - #11619'!E12+'SCS - #11519'!E12</f>
        <v>0</v>
      </c>
      <c r="E6" s="486">
        <f>'III-B - #11619'!F12+'SCS - #11519'!F12</f>
        <v>0</v>
      </c>
      <c r="F6" s="486">
        <f>'III-B - #11619'!G12+'SCS - #11519'!C12+'SCS - #11519'!G12</f>
        <v>0</v>
      </c>
      <c r="G6" s="486">
        <f>'III-B - #11619'!H12+'SCS - #11519'!H12</f>
        <v>0</v>
      </c>
      <c r="H6" s="486">
        <f>'III-B - #11619'!J12+'III-B - #11619'!L12+'SCS - #11519'!J12+'SCS - #11519'!L12</f>
        <v>0</v>
      </c>
      <c r="I6" s="487">
        <f t="shared" si="0"/>
        <v>0</v>
      </c>
    </row>
    <row r="7" spans="1:9">
      <c r="A7" s="389" t="s">
        <v>385</v>
      </c>
      <c r="B7" s="486">
        <f>'III-B - #11619'!C13</f>
        <v>0</v>
      </c>
      <c r="C7" s="486">
        <f>'III-B - #11619'!D13+'SCS - #11519'!D13</f>
        <v>0</v>
      </c>
      <c r="D7" s="486">
        <f>'III-B - #11619'!E13+'SCS - #11519'!E13</f>
        <v>0</v>
      </c>
      <c r="E7" s="486">
        <f>'III-B - #11619'!F13+'SCS - #11519'!F13</f>
        <v>0</v>
      </c>
      <c r="F7" s="486">
        <f>'III-B - #11619'!G13+'SCS - #11519'!C13+'SCS - #11519'!G13</f>
        <v>0</v>
      </c>
      <c r="G7" s="486">
        <f>'III-B - #11619'!H13+'SCS - #11519'!H13</f>
        <v>0</v>
      </c>
      <c r="H7" s="486">
        <f>'III-B - #11619'!J13+'III-B - #11619'!L13+'SCS - #11519'!J13+'SCS - #11519'!L13</f>
        <v>0</v>
      </c>
      <c r="I7" s="487">
        <f t="shared" si="0"/>
        <v>0</v>
      </c>
    </row>
    <row r="8" spans="1:9">
      <c r="A8" s="484" t="s">
        <v>1428</v>
      </c>
      <c r="B8" s="488"/>
      <c r="C8" s="488"/>
      <c r="D8" s="488"/>
      <c r="E8" s="488"/>
      <c r="F8" s="488"/>
      <c r="G8" s="488"/>
      <c r="H8" s="488"/>
      <c r="I8" s="489"/>
    </row>
    <row r="9" spans="1:9">
      <c r="A9" s="389" t="s">
        <v>416</v>
      </c>
      <c r="B9" s="486">
        <f>'III-B - #11619'!C15</f>
        <v>0</v>
      </c>
      <c r="C9" s="486">
        <f>'III-B - #11619'!D15+'SCS - #11519'!D15</f>
        <v>0</v>
      </c>
      <c r="D9" s="486">
        <f>'III-B - #11619'!E15+'SCS - #11519'!E15</f>
        <v>0</v>
      </c>
      <c r="E9" s="486">
        <f>'III-B - #11619'!F15+'SCS - #11519'!F15</f>
        <v>0</v>
      </c>
      <c r="F9" s="486">
        <f>'III-B - #11619'!G15+'SCS - #11519'!C15+'SCS - #11519'!G15</f>
        <v>0</v>
      </c>
      <c r="G9" s="486">
        <f>'III-B - #11619'!H15+'SCS - #11519'!H15</f>
        <v>0</v>
      </c>
      <c r="H9" s="486">
        <f>'III-B - #11619'!J15+'III-B - #11619'!L15+'SCS - #11519'!J15+'SCS - #11519'!L15</f>
        <v>0</v>
      </c>
      <c r="I9" s="487">
        <f t="shared" si="0"/>
        <v>0</v>
      </c>
    </row>
    <row r="10" spans="1:9">
      <c r="A10" s="389" t="s">
        <v>420</v>
      </c>
      <c r="B10" s="486">
        <f>'III-B - #11619'!C16</f>
        <v>0</v>
      </c>
      <c r="C10" s="486">
        <f>'III-B - #11619'!D16+'SCS - #11519'!D16</f>
        <v>0</v>
      </c>
      <c r="D10" s="486">
        <f>'III-B - #11619'!E16+'SCS - #11519'!E16</f>
        <v>0</v>
      </c>
      <c r="E10" s="486">
        <f>'III-B - #11619'!F16+'SCS - #11519'!F16</f>
        <v>0</v>
      </c>
      <c r="F10" s="486">
        <f>'III-B - #11619'!G16+'SCS - #11519'!C16+'SCS - #11519'!G16</f>
        <v>0</v>
      </c>
      <c r="G10" s="486">
        <f>'III-B - #11619'!H16+'SCS - #11519'!H16</f>
        <v>0</v>
      </c>
      <c r="H10" s="486">
        <f>'III-B - #11619'!J16+'III-B - #11619'!L16+'SCS - #11519'!J16+'SCS - #11519'!L16</f>
        <v>0</v>
      </c>
      <c r="I10" s="487">
        <f t="shared" si="0"/>
        <v>0</v>
      </c>
    </row>
    <row r="11" spans="1:9">
      <c r="A11" s="484" t="s">
        <v>422</v>
      </c>
      <c r="B11" s="488"/>
      <c r="C11" s="488"/>
      <c r="D11" s="488"/>
      <c r="E11" s="488"/>
      <c r="F11" s="488"/>
      <c r="G11" s="488"/>
      <c r="H11" s="488"/>
      <c r="I11" s="489"/>
    </row>
    <row r="12" spans="1:9">
      <c r="A12" s="389" t="s">
        <v>1429</v>
      </c>
      <c r="B12" s="486">
        <f>'III-B - #11619'!C18</f>
        <v>0</v>
      </c>
      <c r="C12" s="486">
        <f>'III-B - #11619'!D18+'SCS - #11519'!D18</f>
        <v>0</v>
      </c>
      <c r="D12" s="486">
        <f>'III-B - #11619'!E18+'SCS - #11519'!E18</f>
        <v>0</v>
      </c>
      <c r="E12" s="486">
        <f>'III-B - #11619'!F18+'SCS - #11519'!F18</f>
        <v>0</v>
      </c>
      <c r="F12" s="486">
        <f>'III-B - #11619'!G18+'SCS - #11519'!C18+'SCS - #11519'!G18</f>
        <v>0</v>
      </c>
      <c r="G12" s="486">
        <f>'III-B - #11619'!H18+'SCS - #11519'!H18</f>
        <v>0</v>
      </c>
      <c r="H12" s="486">
        <f>'III-B - #11619'!J18+'III-B - #11619'!L18+'SCS - #11519'!J18+'SCS - #11519'!L18</f>
        <v>0</v>
      </c>
      <c r="I12" s="487">
        <f t="shared" si="0"/>
        <v>0</v>
      </c>
    </row>
    <row r="13" spans="1:9" ht="25.2" customHeight="1">
      <c r="A13" s="389" t="s">
        <v>1430</v>
      </c>
      <c r="B13" s="486">
        <f>'III-B - #11619'!C19</f>
        <v>0</v>
      </c>
      <c r="C13" s="486">
        <f>'III-B - #11619'!D19+'SCS - #11519'!D19</f>
        <v>0</v>
      </c>
      <c r="D13" s="486">
        <f>'III-B - #11619'!E19+'SCS - #11519'!E19</f>
        <v>0</v>
      </c>
      <c r="E13" s="486">
        <f>'III-B - #11619'!F19+'SCS - #11519'!F19</f>
        <v>0</v>
      </c>
      <c r="F13" s="486">
        <f>'III-B - #11619'!G19+'SCS - #11519'!C19+'SCS - #11519'!G19</f>
        <v>0</v>
      </c>
      <c r="G13" s="486">
        <f>'III-B - #11619'!H19+'SCS - #11519'!H19</f>
        <v>0</v>
      </c>
      <c r="H13" s="486">
        <f>'III-B - #11619'!J19+'III-B - #11619'!L19+'SCS - #11519'!J19+'SCS - #11519'!L19</f>
        <v>0</v>
      </c>
      <c r="I13" s="487">
        <f t="shared" si="0"/>
        <v>0</v>
      </c>
    </row>
    <row r="14" spans="1:9">
      <c r="A14" s="389" t="s">
        <v>490</v>
      </c>
      <c r="B14" s="486">
        <f>'III-B - #11619'!C20</f>
        <v>0</v>
      </c>
      <c r="C14" s="486">
        <f>'III-B - #11619'!D20+'SCS - #11519'!D20</f>
        <v>0</v>
      </c>
      <c r="D14" s="486">
        <f>'III-B - #11619'!E20+'SCS - #11519'!E20</f>
        <v>0</v>
      </c>
      <c r="E14" s="486">
        <f>'III-B - #11619'!F20+'SCS - #11519'!F20</f>
        <v>0</v>
      </c>
      <c r="F14" s="486">
        <f>'III-B - #11619'!G20+'SCS - #11519'!C20+'SCS - #11519'!G20</f>
        <v>0</v>
      </c>
      <c r="G14" s="486">
        <f>'III-B - #11619'!H20+'SCS - #11519'!H20</f>
        <v>0</v>
      </c>
      <c r="H14" s="486">
        <f>'III-B - #11619'!J20+'III-B - #11619'!L20+'SCS - #11519'!J20+'SCS - #11519'!L20</f>
        <v>0</v>
      </c>
      <c r="I14" s="487">
        <f t="shared" si="0"/>
        <v>0</v>
      </c>
    </row>
    <row r="15" spans="1:9">
      <c r="A15" s="389" t="s">
        <v>1431</v>
      </c>
      <c r="B15" s="486">
        <f>'III-B - #11619'!C21</f>
        <v>0</v>
      </c>
      <c r="C15" s="486">
        <f>'III-B - #11619'!D21+'SCS - #11519'!D21+'Ben Spec Other Repl - #73019'!D21+'Benefit Spec I&amp;A Repl #72019'!D21</f>
        <v>0</v>
      </c>
      <c r="D15" s="486">
        <f>'III-B - #11619'!E21+'SCS - #11519'!E21+'Ben Spec Other Repl - #73019'!E21+'Benefit Spec I&amp;A Repl #72019'!E21</f>
        <v>0</v>
      </c>
      <c r="E15" s="486">
        <f>'III-B - #11619'!F21+'SCS - #11519'!F21+'SHIP Original 18-19 - #12719'!C21+'MIPPA 18-19 - #75019'!C21+'Ben Spec Other Repl - #73019'!F21+'Benefit Spec I&amp;A Repl #72019'!F21</f>
        <v>0</v>
      </c>
      <c r="F15" s="486">
        <f>'III-B - #11619'!G21+'SCS - #11519'!C21+'SCS - #11519'!G21+'Ben Spec Other Repl - #73019'!C21+'Ben Spec Other Repl - #73019'!G21+'Benefit Spec I&amp;A Repl #72019'!C21+'Benefit Spec I&amp;A Repl #72019'!G21+'EBS OCI Repl (SPAP)18-19-#13019'!C21+'EBS OCI Repl 18-19-#74009 75010'!C21+'EBS OCI Repl-Othr 18-19-#75009'!C21</f>
        <v>0</v>
      </c>
      <c r="G15" s="486">
        <f>'III-B - #11619'!H21+'SCS - #11519'!H21+'Ben Spec Other Repl - #73019'!H21+'Benefit Spec I&amp;A Repl #72019'!H21</f>
        <v>0</v>
      </c>
      <c r="H15" s="486">
        <f>'III-B - #11619'!J21+'III-B - #11619'!L21+'SCS - #11519'!J21+'SCS - #11519'!L21+'Ben Spec Other Repl - #73019'!J21+'Ben Spec Other Repl - #73019'!L21+'Benefit Spec I&amp;A Repl #72019'!J21+'Benefit Spec I&amp;A Repl #72019'!L21</f>
        <v>0</v>
      </c>
      <c r="I15" s="487">
        <f t="shared" si="0"/>
        <v>0</v>
      </c>
    </row>
    <row r="16" spans="1:9">
      <c r="A16" s="389" t="s">
        <v>1432</v>
      </c>
      <c r="B16" s="486">
        <f>'III-B - #11619'!C22</f>
        <v>0</v>
      </c>
      <c r="C16" s="486">
        <f>'III-B - #11619'!D22+'SCS - #11519'!D22</f>
        <v>0</v>
      </c>
      <c r="D16" s="486">
        <f>'III-B - #11619'!E22+'SCS - #11519'!E22</f>
        <v>0</v>
      </c>
      <c r="E16" s="486">
        <f>'III-B - #11619'!F22+'SCS - #11519'!F22</f>
        <v>0</v>
      </c>
      <c r="F16" s="486">
        <f>'III-B - #11619'!G22+'SCS - #11519'!C22+'SCS - #11519'!G22</f>
        <v>0</v>
      </c>
      <c r="G16" s="486">
        <f>'III-B - #11619'!H22+'SCS - #11519'!H22</f>
        <v>0</v>
      </c>
      <c r="H16" s="486">
        <f>'III-B - #11619'!J22+'III-B - #11619'!L22+'SCS - #11519'!J22+'SCS - #11519'!L22</f>
        <v>0</v>
      </c>
      <c r="I16" s="487">
        <f t="shared" si="0"/>
        <v>0</v>
      </c>
    </row>
    <row r="17" spans="1:9" ht="26.4">
      <c r="A17" s="389" t="s">
        <v>518</v>
      </c>
      <c r="B17" s="486">
        <f>'III-B - #11619'!C23</f>
        <v>0</v>
      </c>
      <c r="C17" s="486">
        <f>'III-B - #11619'!D23+'SCS - #11519'!D23</f>
        <v>0</v>
      </c>
      <c r="D17" s="486">
        <f>'III-B - #11619'!E23+'SCS - #11519'!E23</f>
        <v>0</v>
      </c>
      <c r="E17" s="486">
        <f>'III-B - #11619'!F23+'SCS - #11519'!F23</f>
        <v>0</v>
      </c>
      <c r="F17" s="486">
        <f>'III-B - #11619'!G23+'SCS - #11519'!C23+'SCS - #11519'!G23</f>
        <v>0</v>
      </c>
      <c r="G17" s="486">
        <f>'III-B - #11619'!H23+'SCS - #11519'!H23</f>
        <v>0</v>
      </c>
      <c r="H17" s="486">
        <f>'III-B - #11619'!J23+'III-B - #11619'!L23+'SCS - #11519'!J23+'SCS - #11519'!L23</f>
        <v>0</v>
      </c>
      <c r="I17" s="487">
        <f t="shared" si="0"/>
        <v>0</v>
      </c>
    </row>
    <row r="18" spans="1:9" ht="26.4">
      <c r="A18" s="389" t="s">
        <v>1433</v>
      </c>
      <c r="B18" s="486">
        <f>'III-B Other Services'!C17</f>
        <v>0</v>
      </c>
      <c r="C18" s="486">
        <f>'III-B Other Services'!D17+'SCS Other Services'!D17</f>
        <v>0</v>
      </c>
      <c r="D18" s="486">
        <f>'III-B Other Services'!E17+'SCS Other Services'!E17</f>
        <v>0</v>
      </c>
      <c r="E18" s="486">
        <f>'III-B Other Services'!F17+'SCS Other Services'!F17</f>
        <v>0</v>
      </c>
      <c r="F18" s="486">
        <f>'III-B Other Services'!G17+'SCS Other Services'!C17+'SCS Other Services'!G17</f>
        <v>0</v>
      </c>
      <c r="G18" s="486">
        <f>'III-B Other Services'!H17+'SCS Other Services'!H17</f>
        <v>0</v>
      </c>
      <c r="H18" s="486">
        <f>'III-B Other Services'!J17+'III-B Other Services'!L17+'SCS Other Services'!J17+'SCS Other Services'!L17</f>
        <v>0</v>
      </c>
      <c r="I18" s="487">
        <f t="shared" si="0"/>
        <v>0</v>
      </c>
    </row>
    <row r="19" spans="1:9" ht="26.4">
      <c r="A19" s="389" t="s">
        <v>1434</v>
      </c>
      <c r="B19" s="486">
        <f>'III-B Other Services'!C18</f>
        <v>0</v>
      </c>
      <c r="C19" s="486">
        <f>'III-B Other Services'!D18+'SCS Other Services'!D18</f>
        <v>0</v>
      </c>
      <c r="D19" s="486">
        <f>'III-B Other Services'!E18+'SCS Other Services'!E18</f>
        <v>0</v>
      </c>
      <c r="E19" s="486">
        <f>'III-B Other Services'!F18+'SCS Other Services'!F18</f>
        <v>0</v>
      </c>
      <c r="F19" s="486">
        <f>'III-B Other Services'!G18+'SCS Other Services'!C18+'SCS Other Services'!G18</f>
        <v>0</v>
      </c>
      <c r="G19" s="486">
        <f>'III-B Other Services'!H18+'SCS Other Services'!H18</f>
        <v>0</v>
      </c>
      <c r="H19" s="486">
        <f>'III-B Other Services'!J18+'III-B Other Services'!L18+'SCS Other Services'!J18+'SCS Other Services'!L18</f>
        <v>0</v>
      </c>
      <c r="I19" s="487">
        <f t="shared" si="0"/>
        <v>0</v>
      </c>
    </row>
    <row r="20" spans="1:9">
      <c r="A20" s="389" t="s">
        <v>1435</v>
      </c>
      <c r="B20" s="486">
        <f>'III-B - #11619'!C24</f>
        <v>0</v>
      </c>
      <c r="C20" s="486">
        <f>'III-B - #11619'!D24+'SCS - #11519'!D24</f>
        <v>0</v>
      </c>
      <c r="D20" s="486">
        <f>'III-B - #11619'!E24+'SCS - #11519'!E24</f>
        <v>0</v>
      </c>
      <c r="E20" s="486">
        <f>'III-B - #11619'!F24+'SCS - #11519'!F24</f>
        <v>0</v>
      </c>
      <c r="F20" s="486">
        <f>'III-B - #11619'!G24+'SCS - #11519'!C24+'SCS - #11519'!G24</f>
        <v>0</v>
      </c>
      <c r="G20" s="486">
        <f>'III-B - #11619'!H24+'SCS - #11519'!H24</f>
        <v>0</v>
      </c>
      <c r="H20" s="486">
        <f>'III-B - #11619'!J24+'III-B - #11619'!L24+'SCS - #11519'!J24+'SCS - #11519'!L24</f>
        <v>0</v>
      </c>
      <c r="I20" s="487">
        <f t="shared" si="0"/>
        <v>0</v>
      </c>
    </row>
    <row r="21" spans="1:9">
      <c r="A21" s="389" t="s">
        <v>1436</v>
      </c>
      <c r="B21" s="486">
        <f>'III-B Other Services'!C10</f>
        <v>0</v>
      </c>
      <c r="C21" s="486">
        <f>'III-B Other Services'!D10+'SCS Other Services'!D10</f>
        <v>0</v>
      </c>
      <c r="D21" s="486">
        <f>'III-B Other Services'!E10+'SCS Other Services'!E10</f>
        <v>0</v>
      </c>
      <c r="E21" s="486">
        <f>'III-B Other Services'!F10+'SCS Other Services'!F10</f>
        <v>0</v>
      </c>
      <c r="F21" s="486">
        <f>'III-B Other Services'!G10+'SCS Other Services'!C10+'SCS Other Services'!G10</f>
        <v>0</v>
      </c>
      <c r="G21" s="486">
        <f>'III-B Other Services'!H10+'SCS Other Services'!H10</f>
        <v>0</v>
      </c>
      <c r="H21" s="486">
        <f>'III-B Other Services'!J10+'III-B Other Services'!L10+'SCS Other Services'!J10+'SCS Other Services'!L10</f>
        <v>0</v>
      </c>
      <c r="I21" s="487">
        <f t="shared" si="0"/>
        <v>0</v>
      </c>
    </row>
    <row r="22" spans="1:9">
      <c r="A22" s="389" t="s">
        <v>583</v>
      </c>
      <c r="B22" s="486">
        <f>'III-B Other Services'!C11</f>
        <v>0</v>
      </c>
      <c r="C22" s="486">
        <f>'III-B Other Services'!D11+'SCS Other Services'!D11</f>
        <v>0</v>
      </c>
      <c r="D22" s="486">
        <f>'III-B Other Services'!E11+'SCS Other Services'!E11</f>
        <v>0</v>
      </c>
      <c r="E22" s="486">
        <f>'III-B Other Services'!F11+'SCS Other Services'!F11</f>
        <v>0</v>
      </c>
      <c r="F22" s="486">
        <f>'III-B Other Services'!G11+'SCS Other Services'!C11+'SCS Other Services'!G11</f>
        <v>0</v>
      </c>
      <c r="G22" s="486">
        <f>'III-B Other Services'!H11+'SCS Other Services'!H11</f>
        <v>0</v>
      </c>
      <c r="H22" s="486">
        <f>'III-B Other Services'!J11+'III-B Other Services'!L11+'SCS Other Services'!J11+'SCS Other Services'!L11</f>
        <v>0</v>
      </c>
      <c r="I22" s="487">
        <f t="shared" si="0"/>
        <v>0</v>
      </c>
    </row>
    <row r="23" spans="1:9">
      <c r="A23" s="389" t="s">
        <v>587</v>
      </c>
      <c r="B23" s="486">
        <f>'III-B Other Services'!C12</f>
        <v>0</v>
      </c>
      <c r="C23" s="486">
        <f>'III-B Other Services'!D12+'SCS Other Services'!D12</f>
        <v>0</v>
      </c>
      <c r="D23" s="486">
        <f>'III-B Other Services'!E12+'SCS Other Services'!E12</f>
        <v>0</v>
      </c>
      <c r="E23" s="486">
        <f>'III-B Other Services'!F12+'SCS Other Services'!F12</f>
        <v>0</v>
      </c>
      <c r="F23" s="486">
        <f>'III-B Other Services'!G12+'SCS Other Services'!C12+'SCS Other Services'!G12</f>
        <v>0</v>
      </c>
      <c r="G23" s="486">
        <f>'III-B Other Services'!H12+'SCS Other Services'!H12</f>
        <v>0</v>
      </c>
      <c r="H23" s="486">
        <f>'III-B Other Services'!J12+'III-B Other Services'!L12+'SCS Other Services'!J12+'SCS Other Services'!L12</f>
        <v>0</v>
      </c>
      <c r="I23" s="487">
        <f t="shared" si="0"/>
        <v>0</v>
      </c>
    </row>
    <row r="24" spans="1:9">
      <c r="A24" s="389" t="s">
        <v>808</v>
      </c>
      <c r="B24" s="486">
        <f>'III-B Other Services'!C24</f>
        <v>0</v>
      </c>
      <c r="C24" s="486">
        <f>'III-B Other Services'!D24+'SCS Other Services'!D24</f>
        <v>0</v>
      </c>
      <c r="D24" s="486">
        <f>'III-B Other Services'!E24+'SCS Other Services'!E24</f>
        <v>0</v>
      </c>
      <c r="E24" s="486">
        <f>'III-B Other Services'!F24+'SCS Other Services'!F24</f>
        <v>0</v>
      </c>
      <c r="F24" s="486">
        <f>'III-B Other Services'!G24+'SCS Other Services'!C24+'SCS Other Services'!G24</f>
        <v>0</v>
      </c>
      <c r="G24" s="486">
        <f>'III-B Other Services'!H24+'SCS Other Services'!H24</f>
        <v>0</v>
      </c>
      <c r="H24" s="486">
        <f>'III-B Other Services'!J24+'III-B Other Services'!L24+'SCS Other Services'!J24+'SCS Other Services'!L24</f>
        <v>0</v>
      </c>
      <c r="I24" s="487">
        <f t="shared" si="0"/>
        <v>0</v>
      </c>
    </row>
    <row r="25" spans="1:9" ht="26.4">
      <c r="A25" s="389" t="s">
        <v>593</v>
      </c>
      <c r="B25" s="486">
        <f>'III-B Other Services'!C13</f>
        <v>0</v>
      </c>
      <c r="C25" s="486">
        <f>'III-B Other Services'!D13+'SCS Other Services'!D13</f>
        <v>0</v>
      </c>
      <c r="D25" s="486">
        <f>'III-B Other Services'!E13+'SCS Other Services'!E13</f>
        <v>0</v>
      </c>
      <c r="E25" s="486">
        <f>'III-B Other Services'!F13+'SCS Other Services'!F13</f>
        <v>0</v>
      </c>
      <c r="F25" s="486">
        <f>'III-B Other Services'!G13+'SCS Other Services'!C13+'SCS Other Services'!G13</f>
        <v>0</v>
      </c>
      <c r="G25" s="486">
        <f>'III-B Other Services'!H13+'SCS Other Services'!H13</f>
        <v>0</v>
      </c>
      <c r="H25" s="486">
        <f>'III-B Other Services'!J13+'III-B Other Services'!L13+'SCS Other Services'!J13+'SCS Other Services'!L13</f>
        <v>0</v>
      </c>
      <c r="I25" s="487">
        <f t="shared" si="0"/>
        <v>0</v>
      </c>
    </row>
    <row r="26" spans="1:9" ht="26.4">
      <c r="A26" s="389" t="s">
        <v>1437</v>
      </c>
      <c r="B26" s="486">
        <f>'III-B Other Services'!C14</f>
        <v>0</v>
      </c>
      <c r="C26" s="486">
        <f>'III-B Other Services'!D14+'SCS Other Services'!D14</f>
        <v>0</v>
      </c>
      <c r="D26" s="486">
        <f>'III-B Other Services'!E14+'SCS Other Services'!E14</f>
        <v>0</v>
      </c>
      <c r="E26" s="486">
        <f>'III-B Other Services'!F14+'SCS Other Services'!F14</f>
        <v>0</v>
      </c>
      <c r="F26" s="486">
        <f>'III-B Other Services'!G14+'SCS Other Services'!C14+'SCS Other Services'!G14</f>
        <v>0</v>
      </c>
      <c r="G26" s="486">
        <f>'III-B Other Services'!H14+'SCS Other Services'!H14</f>
        <v>0</v>
      </c>
      <c r="H26" s="486">
        <f>'III-B Other Services'!J14+'III-B Other Services'!L14+'SCS Other Services'!J14+'SCS Other Services'!L14</f>
        <v>0</v>
      </c>
      <c r="I26" s="487">
        <f t="shared" si="0"/>
        <v>0</v>
      </c>
    </row>
    <row r="27" spans="1:9" ht="26.4">
      <c r="A27" s="389" t="s">
        <v>601</v>
      </c>
      <c r="B27" s="486">
        <f>'III-B Other Services'!C15</f>
        <v>0</v>
      </c>
      <c r="C27" s="486">
        <f>'III-B Other Services'!D15+'SCS Other Services'!D15</f>
        <v>0</v>
      </c>
      <c r="D27" s="486">
        <f>'III-B Other Services'!E15+'SCS Other Services'!E15</f>
        <v>0</v>
      </c>
      <c r="E27" s="486">
        <f>'III-B Other Services'!F15+'SCS Other Services'!F15</f>
        <v>0</v>
      </c>
      <c r="F27" s="486">
        <f>'III-B Other Services'!G15+'SCS Other Services'!C15+'SCS Other Services'!G15</f>
        <v>0</v>
      </c>
      <c r="G27" s="486">
        <f>'III-B Other Services'!H15+'SCS Other Services'!H15</f>
        <v>0</v>
      </c>
      <c r="H27" s="486">
        <f>'III-B Other Services'!J15+'III-B Other Services'!L15+'SCS Other Services'!J15+'SCS Other Services'!L15</f>
        <v>0</v>
      </c>
      <c r="I27" s="487">
        <f t="shared" si="0"/>
        <v>0</v>
      </c>
    </row>
    <row r="28" spans="1:9">
      <c r="A28" s="389" t="s">
        <v>1438</v>
      </c>
      <c r="B28" s="486">
        <f>'III-B Other Services'!C16</f>
        <v>0</v>
      </c>
      <c r="C28" s="486">
        <f>'III-B Other Services'!D16+'SCS Other Services'!D16</f>
        <v>0</v>
      </c>
      <c r="D28" s="486">
        <f>'III-B Other Services'!E16+'SCS Other Services'!E16</f>
        <v>0</v>
      </c>
      <c r="E28" s="486">
        <f>'III-B Other Services'!F16+'SCS Other Services'!F16</f>
        <v>0</v>
      </c>
      <c r="F28" s="486">
        <f>'III-B Other Services'!G16+'SCS Other Services'!C16+'SCS Other Services'!G16</f>
        <v>0</v>
      </c>
      <c r="G28" s="486">
        <f>'III-B Other Services'!H16+'SCS Other Services'!H16</f>
        <v>0</v>
      </c>
      <c r="H28" s="486">
        <f>'III-B Other Services'!J16+'III-B Other Services'!L16+'SCS Other Services'!J16+'SCS Other Services'!L16</f>
        <v>0</v>
      </c>
      <c r="I28" s="487">
        <f t="shared" si="0"/>
        <v>0</v>
      </c>
    </row>
    <row r="29" spans="1:9" ht="26.4">
      <c r="A29" s="389" t="s">
        <v>759</v>
      </c>
      <c r="B29" s="486">
        <f>'III-B Other Services'!C19</f>
        <v>0</v>
      </c>
      <c r="C29" s="486">
        <f>'III-B Other Services'!D19+'SCS Other Services'!D19</f>
        <v>0</v>
      </c>
      <c r="D29" s="486">
        <f>'III-B Other Services'!E19+'SCS Other Services'!E19</f>
        <v>0</v>
      </c>
      <c r="E29" s="486">
        <f>'III-B Other Services'!F19+'SCS Other Services'!F19</f>
        <v>0</v>
      </c>
      <c r="F29" s="486">
        <f>'III-B Other Services'!G19+'SCS Other Services'!C19+'SCS Other Services'!G19</f>
        <v>0</v>
      </c>
      <c r="G29" s="486">
        <f>'III-B Other Services'!H19+'SCS Other Services'!H19</f>
        <v>0</v>
      </c>
      <c r="H29" s="486">
        <f>'III-B Other Services'!J19+'III-B Other Services'!L19+'SCS Other Services'!J19+'SCS Other Services'!L19</f>
        <v>0</v>
      </c>
      <c r="I29" s="487">
        <f t="shared" si="0"/>
        <v>0</v>
      </c>
    </row>
    <row r="30" spans="1:9" ht="26.4">
      <c r="A30" s="483" t="s">
        <v>1439</v>
      </c>
      <c r="B30" s="488"/>
      <c r="C30" s="488"/>
      <c r="D30" s="488"/>
      <c r="E30" s="488"/>
      <c r="F30" s="488"/>
      <c r="G30" s="488"/>
      <c r="H30" s="488"/>
      <c r="I30" s="490"/>
    </row>
    <row r="31" spans="1:9">
      <c r="A31" s="389" t="s">
        <v>776</v>
      </c>
      <c r="B31" s="486">
        <f>'III-B Other Services'!C20</f>
        <v>0</v>
      </c>
      <c r="C31" s="486">
        <f>'III-B Other Services'!D20+'SCS Other Services'!D20</f>
        <v>0</v>
      </c>
      <c r="D31" s="486">
        <f>'III-B Other Services'!E20+'SCS Other Services'!E20</f>
        <v>0</v>
      </c>
      <c r="E31" s="486">
        <f>'III-B Other Services'!F20+'SCS Other Services'!F20</f>
        <v>0</v>
      </c>
      <c r="F31" s="486">
        <f>'III-B Other Services'!G20+'SCS Other Services'!C20+'SCS Other Services'!G20</f>
        <v>0</v>
      </c>
      <c r="G31" s="486">
        <f>'III-B Other Services'!H20+'SCS Other Services'!H20</f>
        <v>0</v>
      </c>
      <c r="H31" s="486">
        <f>'III-B Other Services'!J20+'III-B Other Services'!L20+'SCS Other Services'!J20+'SCS Other Services'!L20</f>
        <v>0</v>
      </c>
      <c r="I31" s="487">
        <f t="shared" si="0"/>
        <v>0</v>
      </c>
    </row>
    <row r="32" spans="1:9" ht="26.4">
      <c r="A32" s="389" t="s">
        <v>780</v>
      </c>
      <c r="B32" s="486">
        <f>'III-B Other Services'!C21</f>
        <v>0</v>
      </c>
      <c r="C32" s="486">
        <f>'III-B Other Services'!D21+'SCS Other Services'!D21</f>
        <v>0</v>
      </c>
      <c r="D32" s="486">
        <f>'III-B Other Services'!E21+'SCS Other Services'!E21</f>
        <v>0</v>
      </c>
      <c r="E32" s="486">
        <f>'III-B Other Services'!F21+'SCS Other Services'!F21</f>
        <v>0</v>
      </c>
      <c r="F32" s="486">
        <f>'III-B Other Services'!G21+'SCS Other Services'!C21+'SCS Other Services'!G21</f>
        <v>0</v>
      </c>
      <c r="G32" s="486">
        <f>'III-B Other Services'!H21+'SCS Other Services'!H21</f>
        <v>0</v>
      </c>
      <c r="H32" s="486">
        <f>'III-B Other Services'!J21+'III-B Other Services'!L21+'SCS Other Services'!J21+'SCS Other Services'!L21</f>
        <v>0</v>
      </c>
      <c r="I32" s="487">
        <f t="shared" si="0"/>
        <v>0</v>
      </c>
    </row>
    <row r="33" spans="1:9" ht="26.4">
      <c r="A33" s="389" t="s">
        <v>782</v>
      </c>
      <c r="B33" s="486">
        <f>'III-B Other Services'!C22</f>
        <v>0</v>
      </c>
      <c r="C33" s="486">
        <f>'III-B Other Services'!D22+'SCS Other Services'!D22</f>
        <v>0</v>
      </c>
      <c r="D33" s="486">
        <f>'III-B Other Services'!E22+'SCS Other Services'!E22</f>
        <v>0</v>
      </c>
      <c r="E33" s="486">
        <f>'III-B Other Services'!F22+'SCS Other Services'!F22</f>
        <v>0</v>
      </c>
      <c r="F33" s="486">
        <f>'III-B Other Services'!G22+'SCS Other Services'!C22+'SCS Other Services'!G22</f>
        <v>0</v>
      </c>
      <c r="G33" s="486">
        <f>'III-B Other Services'!H22+'SCS Other Services'!H22</f>
        <v>0</v>
      </c>
      <c r="H33" s="486">
        <f>'III-B Other Services'!J22+'III-B Other Services'!L22+'SCS Other Services'!J22+'SCS Other Services'!L22</f>
        <v>0</v>
      </c>
      <c r="I33" s="487">
        <f t="shared" si="0"/>
        <v>0</v>
      </c>
    </row>
    <row r="34" spans="1:9" ht="26.4">
      <c r="A34" s="389" t="s">
        <v>1440</v>
      </c>
      <c r="B34" s="486">
        <f>'III-B Other Services'!C23</f>
        <v>0</v>
      </c>
      <c r="C34" s="486">
        <f>'III-B Other Services'!D23+'SCS Other Services'!D23</f>
        <v>0</v>
      </c>
      <c r="D34" s="486">
        <f>'III-B Other Services'!E23+'SCS Other Services'!E23</f>
        <v>0</v>
      </c>
      <c r="E34" s="486">
        <f>'III-B Other Services'!F23+'SCS Other Services'!F23</f>
        <v>0</v>
      </c>
      <c r="F34" s="486">
        <f>'III-B Other Services'!G23+'SCS Other Services'!C23+'SCS Other Services'!G23</f>
        <v>0</v>
      </c>
      <c r="G34" s="486">
        <f>'III-B Other Services'!H23+'SCS Other Services'!H23</f>
        <v>0</v>
      </c>
      <c r="H34" s="486">
        <f>'III-B Other Services'!J23+'III-B Other Services'!L23+'SCS Other Services'!J23+'SCS Other Services'!L23</f>
        <v>0</v>
      </c>
      <c r="I34" s="487">
        <f t="shared" si="0"/>
        <v>0</v>
      </c>
    </row>
    <row r="35" spans="1:9">
      <c r="A35" s="389" t="s">
        <v>1441</v>
      </c>
      <c r="B35" s="486">
        <f>'III-B Other Services'!C25</f>
        <v>0</v>
      </c>
      <c r="C35" s="486">
        <f>'III-B Other Services'!D25+'SCS Other Services'!D25</f>
        <v>0</v>
      </c>
      <c r="D35" s="486">
        <f>'III-B Other Services'!E25+'SCS Other Services'!E25</f>
        <v>0</v>
      </c>
      <c r="E35" s="486">
        <f>'III-B Other Services'!F25+'SCS Other Services'!F25</f>
        <v>0</v>
      </c>
      <c r="F35" s="486">
        <f>'III-B Other Services'!G25+'SCS Other Services'!C25+'SCS Other Services'!G25</f>
        <v>0</v>
      </c>
      <c r="G35" s="486">
        <f>'III-B Other Services'!H25+'SCS Other Services'!H25</f>
        <v>0</v>
      </c>
      <c r="H35" s="486">
        <f>'III-B Other Services'!J25+'III-B Other Services'!L25+'SCS Other Services'!J25+'SCS Other Services'!L25</f>
        <v>0</v>
      </c>
      <c r="I35" s="487">
        <f t="shared" si="0"/>
        <v>0</v>
      </c>
    </row>
    <row r="36" spans="1:9" ht="26.4">
      <c r="A36" s="390" t="s">
        <v>853</v>
      </c>
      <c r="B36" s="491"/>
      <c r="C36" s="492"/>
      <c r="D36" s="492"/>
      <c r="E36" s="491"/>
      <c r="F36" s="491"/>
      <c r="G36" s="491"/>
      <c r="H36" s="492"/>
      <c r="I36" s="492"/>
    </row>
    <row r="37" spans="1:9" ht="26.4">
      <c r="A37" s="390" t="s">
        <v>858</v>
      </c>
      <c r="B37" s="491"/>
      <c r="C37" s="492"/>
      <c r="D37" s="492"/>
      <c r="E37" s="491"/>
      <c r="F37" s="491"/>
      <c r="G37" s="491"/>
      <c r="H37" s="492"/>
      <c r="I37" s="492"/>
    </row>
    <row r="38" spans="1:9">
      <c r="A38" s="390" t="s">
        <v>868</v>
      </c>
      <c r="B38" s="491"/>
      <c r="C38" s="492"/>
      <c r="D38" s="492"/>
      <c r="E38" s="491"/>
      <c r="F38" s="491"/>
      <c r="G38" s="491"/>
      <c r="H38" s="492"/>
      <c r="I38" s="492"/>
    </row>
    <row r="39" spans="1:9" ht="26.4">
      <c r="A39" s="390" t="s">
        <v>880</v>
      </c>
      <c r="B39" s="491"/>
      <c r="C39" s="492"/>
      <c r="D39" s="492"/>
      <c r="E39" s="491"/>
      <c r="F39" s="491"/>
      <c r="G39" s="491"/>
      <c r="H39" s="492"/>
      <c r="I39" s="492"/>
    </row>
    <row r="40" spans="1:9" ht="26.4">
      <c r="A40" s="390" t="s">
        <v>1442</v>
      </c>
      <c r="B40" s="491"/>
      <c r="C40" s="492"/>
      <c r="D40" s="492"/>
      <c r="E40" s="491"/>
      <c r="F40" s="491"/>
      <c r="G40" s="491"/>
      <c r="H40" s="492"/>
      <c r="I40" s="492"/>
    </row>
    <row r="41" spans="1:9" ht="26.4">
      <c r="A41" s="390" t="s">
        <v>1443</v>
      </c>
      <c r="B41" s="491"/>
      <c r="C41" s="492"/>
      <c r="D41" s="492"/>
      <c r="E41" s="491"/>
      <c r="F41" s="491"/>
      <c r="G41" s="491"/>
      <c r="H41" s="492"/>
      <c r="I41" s="492"/>
    </row>
    <row r="42" spans="1:9" ht="26.4">
      <c r="A42" s="390" t="s">
        <v>1444</v>
      </c>
      <c r="B42" s="491"/>
      <c r="C42" s="492"/>
      <c r="D42" s="492"/>
      <c r="E42" s="491"/>
      <c r="F42" s="491"/>
      <c r="G42" s="491"/>
      <c r="H42" s="492"/>
      <c r="I42" s="492"/>
    </row>
    <row r="43" spans="1:9">
      <c r="A43" s="390" t="s">
        <v>911</v>
      </c>
      <c r="B43" s="491"/>
      <c r="C43" s="492"/>
      <c r="D43" s="492"/>
      <c r="E43" s="491"/>
      <c r="F43" s="491"/>
      <c r="G43" s="491"/>
      <c r="H43" s="492"/>
      <c r="I43" s="492"/>
    </row>
    <row r="44" spans="1:9" ht="26.4">
      <c r="A44" s="390" t="s">
        <v>1445</v>
      </c>
      <c r="B44" s="491"/>
      <c r="C44" s="492"/>
      <c r="D44" s="492"/>
      <c r="E44" s="491"/>
      <c r="F44" s="491"/>
      <c r="G44" s="491"/>
      <c r="H44" s="492"/>
      <c r="I44" s="492"/>
    </row>
    <row r="45" spans="1:9">
      <c r="A45" s="390" t="s">
        <v>926</v>
      </c>
      <c r="B45" s="491"/>
      <c r="C45" s="492"/>
      <c r="D45" s="492"/>
      <c r="E45" s="491"/>
      <c r="F45" s="491"/>
      <c r="G45" s="491"/>
      <c r="H45" s="492"/>
      <c r="I45" s="492"/>
    </row>
    <row r="46" spans="1:9">
      <c r="A46" s="445" t="s">
        <v>1413</v>
      </c>
      <c r="B46" s="493">
        <f>+SUM(B5:B45)</f>
        <v>0</v>
      </c>
      <c r="C46" s="493">
        <f t="shared" ref="C46:I46" si="1">+SUM(C5:C45)</f>
        <v>0</v>
      </c>
      <c r="D46" s="493">
        <f t="shared" si="1"/>
        <v>0</v>
      </c>
      <c r="E46" s="493">
        <f t="shared" si="1"/>
        <v>0</v>
      </c>
      <c r="F46" s="493">
        <f t="shared" si="1"/>
        <v>0</v>
      </c>
      <c r="G46" s="493">
        <f t="shared" si="1"/>
        <v>0</v>
      </c>
      <c r="H46" s="493">
        <f t="shared" si="1"/>
        <v>0</v>
      </c>
      <c r="I46" s="493">
        <f t="shared" si="1"/>
        <v>0</v>
      </c>
    </row>
    <row r="47" spans="1:9" ht="13.8" thickBot="1"/>
    <row r="48" spans="1:9" ht="13.8" thickBot="1">
      <c r="A48" s="394"/>
    </row>
    <row r="49" spans="1:9">
      <c r="A49" s="340" t="s">
        <v>1446</v>
      </c>
      <c r="B49" s="485">
        <f>B46+'III-B - #11619'!C10</f>
        <v>0</v>
      </c>
      <c r="C49" s="485">
        <f>C46+'III-B - #11619'!D10</f>
        <v>0</v>
      </c>
      <c r="D49" s="485">
        <f>D46+'III-B - #11619'!E10</f>
        <v>0</v>
      </c>
      <c r="E49" s="485">
        <f>E46+'III-B - #11619'!F10</f>
        <v>0</v>
      </c>
      <c r="F49" s="485">
        <f>F46+'III-B - #11619'!G10</f>
        <v>0</v>
      </c>
      <c r="G49" s="485">
        <f>G46+'III-B - #11619'!H10</f>
        <v>0</v>
      </c>
      <c r="H49" s="485">
        <f>H46+'III-B - #11619'!J10+'III-B - #11619'!L10</f>
        <v>0</v>
      </c>
      <c r="I49" s="485">
        <f>SUM(B49:H49)</f>
        <v>0</v>
      </c>
    </row>
    <row r="50" spans="1:9">
      <c r="A50" s="340"/>
      <c r="B50" s="340"/>
      <c r="C50" s="340"/>
      <c r="D50" s="340"/>
      <c r="E50" s="340"/>
      <c r="F50" s="340"/>
    </row>
    <row r="51" spans="1:9">
      <c r="A51" s="340"/>
      <c r="B51" s="340"/>
      <c r="C51" s="340"/>
      <c r="D51" s="340"/>
      <c r="E51" s="340"/>
      <c r="F51" s="340"/>
    </row>
    <row r="52" spans="1:9">
      <c r="A52" s="340"/>
      <c r="B52" s="340"/>
      <c r="C52" s="340"/>
      <c r="D52" s="340"/>
      <c r="E52" s="340"/>
      <c r="F52" s="340"/>
    </row>
    <row r="53" spans="1:9">
      <c r="A53" s="340"/>
      <c r="B53" s="340"/>
      <c r="C53" s="340"/>
      <c r="D53" s="340"/>
      <c r="E53" s="340"/>
      <c r="F53" s="340"/>
    </row>
    <row r="54" spans="1:9">
      <c r="A54" s="340"/>
      <c r="B54" s="340"/>
      <c r="C54" s="340"/>
      <c r="D54" s="340"/>
      <c r="E54" s="340"/>
      <c r="F54" s="340"/>
    </row>
    <row r="55" spans="1:9">
      <c r="A55" s="340"/>
      <c r="B55" s="340"/>
      <c r="C55" s="340"/>
      <c r="D55" s="340"/>
      <c r="E55" s="340"/>
      <c r="F55" s="340"/>
    </row>
    <row r="56" spans="1:9">
      <c r="A56" s="340"/>
      <c r="B56" s="340"/>
      <c r="C56" s="340"/>
      <c r="D56" s="340"/>
      <c r="E56" s="340"/>
      <c r="F56" s="340"/>
    </row>
    <row r="57" spans="1:9">
      <c r="A57" s="340"/>
      <c r="B57" s="340"/>
      <c r="C57" s="340"/>
      <c r="D57" s="340"/>
      <c r="E57" s="340"/>
      <c r="F57" s="340"/>
    </row>
    <row r="58" spans="1:9">
      <c r="A58" s="340"/>
      <c r="B58" s="340"/>
      <c r="C58" s="340"/>
      <c r="D58" s="340"/>
      <c r="E58" s="340"/>
      <c r="F58" s="340"/>
    </row>
    <row r="59" spans="1:9">
      <c r="A59" s="340"/>
      <c r="B59" s="340"/>
      <c r="C59" s="340"/>
      <c r="D59" s="340"/>
      <c r="E59" s="340"/>
      <c r="F59" s="340"/>
    </row>
    <row r="60" spans="1:9">
      <c r="A60" s="340"/>
      <c r="B60" s="340"/>
      <c r="C60" s="340"/>
      <c r="D60" s="340"/>
      <c r="E60" s="340"/>
      <c r="F60" s="340"/>
    </row>
    <row r="61" spans="1:9">
      <c r="A61" s="340"/>
      <c r="B61" s="340"/>
      <c r="C61" s="340"/>
      <c r="D61" s="340"/>
      <c r="E61" s="340"/>
      <c r="F61" s="340"/>
    </row>
    <row r="62" spans="1:9">
      <c r="A62" s="340"/>
      <c r="B62" s="340"/>
      <c r="C62" s="340"/>
      <c r="D62" s="340"/>
      <c r="E62" s="340"/>
      <c r="F62" s="340"/>
    </row>
    <row r="63" spans="1:9">
      <c r="A63" s="340"/>
      <c r="B63" s="340"/>
      <c r="C63" s="340"/>
      <c r="D63" s="340"/>
      <c r="E63" s="340"/>
      <c r="F63" s="340"/>
    </row>
    <row r="64" spans="1:9">
      <c r="A64" s="340"/>
      <c r="B64" s="340"/>
      <c r="C64" s="340"/>
      <c r="D64" s="340"/>
      <c r="E64" s="340"/>
      <c r="F64" s="340"/>
    </row>
    <row r="65" spans="1:6">
      <c r="A65" s="340"/>
      <c r="B65" s="340"/>
      <c r="C65" s="340"/>
      <c r="D65" s="340"/>
      <c r="E65" s="340"/>
      <c r="F65" s="340"/>
    </row>
    <row r="66" spans="1:6">
      <c r="A66" s="340"/>
      <c r="B66" s="340"/>
      <c r="C66" s="340"/>
      <c r="D66" s="340"/>
      <c r="E66" s="340"/>
      <c r="F66" s="340"/>
    </row>
    <row r="67" spans="1:6">
      <c r="A67" s="340"/>
      <c r="B67" s="340"/>
      <c r="C67" s="340"/>
      <c r="D67" s="340"/>
      <c r="E67" s="340"/>
      <c r="F67" s="340"/>
    </row>
    <row r="68" spans="1:6">
      <c r="A68" s="340"/>
      <c r="B68" s="340"/>
      <c r="C68" s="340"/>
      <c r="D68" s="340"/>
      <c r="E68" s="340"/>
      <c r="F68" s="340"/>
    </row>
    <row r="69" spans="1:6">
      <c r="A69" s="340"/>
      <c r="B69" s="340"/>
      <c r="C69" s="340"/>
      <c r="D69" s="340"/>
      <c r="E69" s="340"/>
      <c r="F69" s="340"/>
    </row>
    <row r="70" spans="1:6">
      <c r="A70" s="340"/>
      <c r="B70" s="340"/>
      <c r="C70" s="340"/>
      <c r="D70" s="340"/>
      <c r="E70" s="340"/>
      <c r="F70" s="340"/>
    </row>
    <row r="71" spans="1:6">
      <c r="A71" s="340"/>
      <c r="B71" s="340"/>
      <c r="C71" s="340"/>
      <c r="D71" s="340"/>
      <c r="E71" s="340"/>
      <c r="F71" s="340"/>
    </row>
    <row r="72" spans="1:6">
      <c r="A72" s="340"/>
      <c r="B72" s="340"/>
      <c r="C72" s="340"/>
      <c r="D72" s="340"/>
      <c r="E72" s="340"/>
      <c r="F72" s="340"/>
    </row>
    <row r="73" spans="1:6">
      <c r="A73" s="340"/>
      <c r="B73" s="340"/>
      <c r="C73" s="340"/>
      <c r="D73" s="340"/>
      <c r="E73" s="340"/>
      <c r="F73" s="340"/>
    </row>
    <row r="74" spans="1:6">
      <c r="A74" s="340"/>
      <c r="B74" s="340"/>
      <c r="C74" s="340"/>
      <c r="D74" s="340"/>
      <c r="E74" s="340"/>
      <c r="F74" s="340"/>
    </row>
    <row r="75" spans="1:6">
      <c r="A75" s="340"/>
      <c r="B75" s="340"/>
      <c r="C75" s="340"/>
      <c r="D75" s="340"/>
      <c r="E75" s="340"/>
      <c r="F75" s="340"/>
    </row>
    <row r="76" spans="1:6">
      <c r="A76" s="340"/>
      <c r="B76" s="340"/>
      <c r="C76" s="340"/>
      <c r="D76" s="340"/>
      <c r="E76" s="340"/>
      <c r="F76" s="340"/>
    </row>
    <row r="77" spans="1:6">
      <c r="A77" s="340"/>
      <c r="B77" s="340"/>
      <c r="C77" s="340"/>
      <c r="D77" s="340"/>
      <c r="E77" s="340"/>
      <c r="F77" s="340"/>
    </row>
  </sheetData>
  <sheetProtection password="C3C4" sheet="1" objects="1" scenarios="1"/>
  <dataValidations count="1">
    <dataValidation type="whole" allowBlank="1" showInputMessage="1" showErrorMessage="1" errorTitle="Data Validation" error="Please enter a whole number between 0 and 2147483647." sqref="E36:G45 C5:H35 B5:B45" xr:uid="{D1B5D7E4-F848-4967-9D17-4B98F1D2D365}">
      <formula1>0</formula1>
      <formula2>2147483647</formula2>
    </dataValidation>
  </dataValidations>
  <pageMargins left="0.7" right="0.7" top="0.75" bottom="0.75" header="0.3" footer="0.3"/>
  <pageSetup orientation="portrait" r:id="rId1"/>
  <ignoredErrors>
    <ignoredError sqref="B5 B19 B49:I49 B30 B20 B21 B22:B23 B24 B25 B26:B28 B29 B35 B31 B32:B34 B18 H30 C30:G30 C29:E29 C35:E35 C5:D5 G5:H5 C18:E18 G18:H18 C19:E19 G19:H19 C20:E20 G20:H20 C21:E21 G21:H21 C22:E22 G22:H22 C23:E23 G23:H23 C24:E24 G24:H24 C25:E25 G25:H25 C26:E26 G26:H26 C27:E27 G27:H27 C28:E28 G28:H28 G29:H29 C31:E31 G31:H31 C32:E32 G32:H32 C33:E33 G33:H33 C34:E34 G34:H34 G35:H35" unlockedFormula="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8BB44-C0FE-4716-B8C3-7785D0A15641}">
  <sheetPr>
    <tabColor theme="8" tint="0.39997558519241921"/>
  </sheetPr>
  <dimension ref="A1:M106"/>
  <sheetViews>
    <sheetView workbookViewId="0">
      <selection activeCell="G11" sqref="G11"/>
    </sheetView>
  </sheetViews>
  <sheetFormatPr defaultColWidth="8.88671875" defaultRowHeight="13.2"/>
  <cols>
    <col min="1" max="1" width="21.88671875" style="15" bestFit="1" customWidth="1"/>
    <col min="2" max="10" width="15.6640625" style="15" customWidth="1"/>
    <col min="11" max="16384" width="8.88671875" style="15"/>
  </cols>
  <sheetData>
    <row r="1" spans="1:13">
      <c r="A1" s="384"/>
      <c r="B1" s="385"/>
      <c r="C1" s="385"/>
      <c r="F1" s="385"/>
      <c r="G1" s="385"/>
      <c r="H1" s="385"/>
    </row>
    <row r="2" spans="1:13">
      <c r="A2" s="398" t="s">
        <v>1447</v>
      </c>
      <c r="B2" s="386"/>
      <c r="C2" s="386"/>
      <c r="F2" s="386"/>
      <c r="G2" s="386"/>
      <c r="H2" s="386"/>
    </row>
    <row r="3" spans="1:13">
      <c r="A3" s="387"/>
      <c r="B3" s="388"/>
      <c r="C3" s="388"/>
      <c r="F3" s="388"/>
      <c r="G3" s="388"/>
      <c r="H3" s="388"/>
    </row>
    <row r="4" spans="1:13" ht="39.6">
      <c r="A4" s="395" t="s">
        <v>1421</v>
      </c>
      <c r="B4" s="395" t="s">
        <v>1448</v>
      </c>
      <c r="C4" s="395" t="s">
        <v>1399</v>
      </c>
      <c r="D4" s="395" t="s">
        <v>1422</v>
      </c>
      <c r="E4" s="395" t="s">
        <v>1423</v>
      </c>
      <c r="F4" s="395" t="s">
        <v>1424</v>
      </c>
      <c r="G4" s="395" t="s">
        <v>1425</v>
      </c>
      <c r="H4" s="395" t="s">
        <v>1426</v>
      </c>
      <c r="I4" s="395" t="s">
        <v>1427</v>
      </c>
      <c r="J4" s="395" t="s">
        <v>210</v>
      </c>
    </row>
    <row r="5" spans="1:13">
      <c r="A5" s="390" t="s">
        <v>369</v>
      </c>
      <c r="B5" s="391"/>
      <c r="C5" s="391"/>
      <c r="D5" s="392"/>
      <c r="E5" s="392"/>
      <c r="F5" s="391"/>
      <c r="G5" s="391"/>
      <c r="H5" s="391"/>
      <c r="I5" s="392"/>
      <c r="J5" s="444">
        <f t="shared" ref="J5:J44" si="0">+SUM(B5:I5)</f>
        <v>0</v>
      </c>
    </row>
    <row r="6" spans="1:13">
      <c r="A6" s="390" t="s">
        <v>377</v>
      </c>
      <c r="B6" s="391"/>
      <c r="C6" s="391"/>
      <c r="D6" s="392"/>
      <c r="E6" s="392"/>
      <c r="F6" s="392"/>
      <c r="G6" s="392"/>
      <c r="H6" s="392"/>
      <c r="I6" s="392"/>
      <c r="J6" s="444">
        <f t="shared" si="0"/>
        <v>0</v>
      </c>
    </row>
    <row r="7" spans="1:13">
      <c r="A7" s="390" t="s">
        <v>385</v>
      </c>
      <c r="B7" s="391"/>
      <c r="C7" s="391"/>
      <c r="D7" s="392"/>
      <c r="E7" s="392"/>
      <c r="F7" s="392"/>
      <c r="G7" s="392"/>
      <c r="H7" s="392"/>
      <c r="I7" s="392"/>
      <c r="J7" s="444">
        <f t="shared" si="0"/>
        <v>0</v>
      </c>
    </row>
    <row r="8" spans="1:13" ht="26.4">
      <c r="A8" s="390" t="s">
        <v>1428</v>
      </c>
      <c r="B8" s="391"/>
      <c r="C8" s="391"/>
      <c r="D8" s="392"/>
      <c r="E8" s="392"/>
      <c r="F8" s="392"/>
      <c r="G8" s="392"/>
      <c r="H8" s="392"/>
      <c r="I8" s="392"/>
      <c r="J8" s="444">
        <f t="shared" si="0"/>
        <v>0</v>
      </c>
    </row>
    <row r="9" spans="1:13" ht="26.4">
      <c r="A9" s="390" t="s">
        <v>416</v>
      </c>
      <c r="B9" s="391"/>
      <c r="C9" s="391"/>
      <c r="D9" s="392"/>
      <c r="E9" s="392"/>
      <c r="F9" s="392"/>
      <c r="G9" s="392"/>
      <c r="H9" s="392"/>
      <c r="I9" s="392"/>
      <c r="J9" s="444">
        <f t="shared" si="0"/>
        <v>0</v>
      </c>
    </row>
    <row r="10" spans="1:13">
      <c r="A10" s="390" t="s">
        <v>420</v>
      </c>
      <c r="B10" s="391"/>
      <c r="C10" s="391"/>
      <c r="D10" s="392"/>
      <c r="E10" s="392"/>
      <c r="F10" s="392"/>
      <c r="G10" s="392"/>
      <c r="H10" s="392"/>
      <c r="I10" s="392"/>
      <c r="J10" s="444">
        <f t="shared" si="0"/>
        <v>0</v>
      </c>
      <c r="L10" s="15" t="s">
        <v>1449</v>
      </c>
      <c r="M10" s="15" t="s">
        <v>1450</v>
      </c>
    </row>
    <row r="11" spans="1:13">
      <c r="A11" s="389" t="s">
        <v>422</v>
      </c>
      <c r="B11" s="494">
        <f>'III-C 1 - #12019'!C17</f>
        <v>0</v>
      </c>
      <c r="C11" s="494">
        <f>'NSIP 18-19 - #13219'!C17+'NSIP 17-18 - #13218'!C17</f>
        <v>0</v>
      </c>
      <c r="D11" s="495">
        <f>'III-C 1 - #12019'!D17+'SCS - #11519'!D17</f>
        <v>0</v>
      </c>
      <c r="E11" s="495">
        <f>'III-C 1 - #12019'!E17+'SCS - #11519'!E17</f>
        <v>0</v>
      </c>
      <c r="F11" s="495">
        <f>'III-C 1 - #12019'!F17+'SCS - #11519'!F17</f>
        <v>0</v>
      </c>
      <c r="G11" s="495">
        <f>'III-C 1 - #12019'!G17+'SCS - #11519'!C17+'SCS - #11519'!G17</f>
        <v>0</v>
      </c>
      <c r="H11" s="495">
        <f>'III-C 1 - #12019'!H17+'SCS - #11519'!H17</f>
        <v>0</v>
      </c>
      <c r="I11" s="495">
        <f>'III-C 1 - #12019'!J17+'III-C 1 - #12019'!L17+'SCS - #11519'!J17+'SCS - #11519'!L17</f>
        <v>0</v>
      </c>
      <c r="J11" s="487">
        <f t="shared" si="0"/>
        <v>0</v>
      </c>
      <c r="L11" s="147">
        <f>'NSIP 17-18 - #13218'!C17</f>
        <v>0</v>
      </c>
      <c r="M11" s="147">
        <f>'NSIP 18-19 - #13219'!C17</f>
        <v>0</v>
      </c>
    </row>
    <row r="12" spans="1:13">
      <c r="A12" s="389" t="s">
        <v>1429</v>
      </c>
      <c r="B12" s="494">
        <f>'III-C 1 - #12019'!C18</f>
        <v>0</v>
      </c>
      <c r="C12" s="491"/>
      <c r="D12" s="495">
        <f>'III-C 1 - #12019'!D18</f>
        <v>0</v>
      </c>
      <c r="E12" s="495">
        <f>'III-C 1 - #12019'!E18</f>
        <v>0</v>
      </c>
      <c r="F12" s="495">
        <f>'III-C 1 - #12019'!F18</f>
        <v>0</v>
      </c>
      <c r="G12" s="495">
        <f>'III-C 1 - #12019'!G18</f>
        <v>0</v>
      </c>
      <c r="H12" s="495">
        <f>'III-C 1 - #12019'!H18</f>
        <v>0</v>
      </c>
      <c r="I12" s="495">
        <f>'III-C 1 - #12019'!J18+'III-C 1 - #12019'!L18</f>
        <v>0</v>
      </c>
      <c r="J12" s="487">
        <f t="shared" si="0"/>
        <v>0</v>
      </c>
    </row>
    <row r="13" spans="1:13" ht="25.2" customHeight="1">
      <c r="A13" s="390" t="s">
        <v>1430</v>
      </c>
      <c r="B13" s="491"/>
      <c r="C13" s="491"/>
      <c r="D13" s="492"/>
      <c r="E13" s="492"/>
      <c r="F13" s="492"/>
      <c r="G13" s="492"/>
      <c r="H13" s="492"/>
      <c r="I13" s="492"/>
      <c r="J13" s="492">
        <f t="shared" si="0"/>
        <v>0</v>
      </c>
    </row>
    <row r="14" spans="1:13">
      <c r="A14" s="390" t="s">
        <v>490</v>
      </c>
      <c r="B14" s="491"/>
      <c r="C14" s="491"/>
      <c r="D14" s="492"/>
      <c r="E14" s="492"/>
      <c r="F14" s="492"/>
      <c r="G14" s="492"/>
      <c r="H14" s="492"/>
      <c r="I14" s="492"/>
      <c r="J14" s="492">
        <f t="shared" si="0"/>
        <v>0</v>
      </c>
    </row>
    <row r="15" spans="1:13">
      <c r="A15" s="390" t="s">
        <v>1431</v>
      </c>
      <c r="B15" s="491"/>
      <c r="C15" s="491"/>
      <c r="D15" s="492"/>
      <c r="E15" s="492"/>
      <c r="F15" s="492"/>
      <c r="G15" s="492"/>
      <c r="H15" s="492"/>
      <c r="I15" s="492"/>
      <c r="J15" s="492">
        <f t="shared" si="0"/>
        <v>0</v>
      </c>
    </row>
    <row r="16" spans="1:13">
      <c r="A16" s="389" t="s">
        <v>1432</v>
      </c>
      <c r="B16" s="494">
        <f>'III-C 1 - #12019'!C22</f>
        <v>0</v>
      </c>
      <c r="C16" s="491"/>
      <c r="D16" s="495">
        <f>'III-C 1 - #12019'!D22</f>
        <v>0</v>
      </c>
      <c r="E16" s="495">
        <f>'III-C 1 - #12019'!E22</f>
        <v>0</v>
      </c>
      <c r="F16" s="495">
        <f>'III-C 1 - #12019'!F22</f>
        <v>0</v>
      </c>
      <c r="G16" s="495">
        <f>'III-C 1 - #12019'!G22</f>
        <v>0</v>
      </c>
      <c r="H16" s="495">
        <f>'III-C 1 - #12019'!H22</f>
        <v>0</v>
      </c>
      <c r="I16" s="495">
        <f>'III-C 1 - #12019'!J22+'III-C 1 - #12019'!L22</f>
        <v>0</v>
      </c>
      <c r="J16" s="487">
        <f t="shared" si="0"/>
        <v>0</v>
      </c>
    </row>
    <row r="17" spans="1:10" ht="26.4">
      <c r="A17" s="390" t="s">
        <v>518</v>
      </c>
      <c r="B17" s="391"/>
      <c r="C17" s="391"/>
      <c r="D17" s="392"/>
      <c r="E17" s="392"/>
      <c r="F17" s="392"/>
      <c r="G17" s="392"/>
      <c r="H17" s="392"/>
      <c r="I17" s="392"/>
      <c r="J17" s="444">
        <f t="shared" si="0"/>
        <v>0</v>
      </c>
    </row>
    <row r="18" spans="1:10" ht="26.4">
      <c r="A18" s="390" t="s">
        <v>1433</v>
      </c>
      <c r="B18" s="391"/>
      <c r="C18" s="391"/>
      <c r="D18" s="392"/>
      <c r="E18" s="392"/>
      <c r="F18" s="392"/>
      <c r="G18" s="392"/>
      <c r="H18" s="392"/>
      <c r="I18" s="392"/>
      <c r="J18" s="444">
        <f t="shared" si="0"/>
        <v>0</v>
      </c>
    </row>
    <row r="19" spans="1:10" ht="26.4">
      <c r="A19" s="390" t="s">
        <v>1434</v>
      </c>
      <c r="B19" s="391"/>
      <c r="C19" s="391"/>
      <c r="D19" s="392"/>
      <c r="E19" s="392"/>
      <c r="F19" s="392"/>
      <c r="G19" s="392"/>
      <c r="H19" s="392"/>
      <c r="I19" s="392"/>
      <c r="J19" s="444">
        <f t="shared" si="0"/>
        <v>0</v>
      </c>
    </row>
    <row r="20" spans="1:10">
      <c r="A20" s="390" t="s">
        <v>1435</v>
      </c>
      <c r="B20" s="391"/>
      <c r="C20" s="391"/>
      <c r="D20" s="392"/>
      <c r="E20" s="392"/>
      <c r="F20" s="391"/>
      <c r="G20" s="391"/>
      <c r="H20" s="391"/>
      <c r="I20" s="392"/>
      <c r="J20" s="444">
        <f t="shared" si="0"/>
        <v>0</v>
      </c>
    </row>
    <row r="21" spans="1:10">
      <c r="A21" s="390" t="s">
        <v>1436</v>
      </c>
      <c r="B21" s="391"/>
      <c r="C21" s="391"/>
      <c r="D21" s="392"/>
      <c r="E21" s="392"/>
      <c r="F21" s="391"/>
      <c r="G21" s="391"/>
      <c r="H21" s="391"/>
      <c r="I21" s="392"/>
      <c r="J21" s="444">
        <f t="shared" si="0"/>
        <v>0</v>
      </c>
    </row>
    <row r="22" spans="1:10">
      <c r="A22" s="390" t="s">
        <v>583</v>
      </c>
      <c r="B22" s="391"/>
      <c r="C22" s="391"/>
      <c r="D22" s="392"/>
      <c r="E22" s="392"/>
      <c r="F22" s="391"/>
      <c r="G22" s="391"/>
      <c r="H22" s="391"/>
      <c r="I22" s="392"/>
      <c r="J22" s="444">
        <f t="shared" si="0"/>
        <v>0</v>
      </c>
    </row>
    <row r="23" spans="1:10">
      <c r="A23" s="390" t="s">
        <v>587</v>
      </c>
      <c r="B23" s="391"/>
      <c r="C23" s="391"/>
      <c r="D23" s="392"/>
      <c r="E23" s="392"/>
      <c r="F23" s="391"/>
      <c r="G23" s="391"/>
      <c r="H23" s="391"/>
      <c r="I23" s="392"/>
      <c r="J23" s="444">
        <f t="shared" si="0"/>
        <v>0</v>
      </c>
    </row>
    <row r="24" spans="1:10">
      <c r="A24" s="390" t="s">
        <v>808</v>
      </c>
      <c r="B24" s="391"/>
      <c r="C24" s="391"/>
      <c r="D24" s="392"/>
      <c r="E24" s="392"/>
      <c r="F24" s="391"/>
      <c r="G24" s="391"/>
      <c r="H24" s="391"/>
      <c r="I24" s="392"/>
      <c r="J24" s="444">
        <f t="shared" si="0"/>
        <v>0</v>
      </c>
    </row>
    <row r="25" spans="1:10" ht="26.4">
      <c r="A25" s="390" t="s">
        <v>593</v>
      </c>
      <c r="B25" s="391"/>
      <c r="C25" s="391"/>
      <c r="D25" s="392"/>
      <c r="E25" s="392"/>
      <c r="F25" s="391"/>
      <c r="G25" s="391"/>
      <c r="H25" s="391"/>
      <c r="I25" s="392"/>
      <c r="J25" s="444">
        <f t="shared" si="0"/>
        <v>0</v>
      </c>
    </row>
    <row r="26" spans="1:10" ht="26.4">
      <c r="A26" s="390" t="s">
        <v>1437</v>
      </c>
      <c r="B26" s="391"/>
      <c r="C26" s="391"/>
      <c r="D26" s="392"/>
      <c r="E26" s="392"/>
      <c r="F26" s="391"/>
      <c r="G26" s="391"/>
      <c r="H26" s="391"/>
      <c r="I26" s="392"/>
      <c r="J26" s="444">
        <f t="shared" si="0"/>
        <v>0</v>
      </c>
    </row>
    <row r="27" spans="1:10" ht="26.4">
      <c r="A27" s="390" t="s">
        <v>601</v>
      </c>
      <c r="B27" s="391"/>
      <c r="C27" s="391"/>
      <c r="D27" s="392"/>
      <c r="E27" s="392"/>
      <c r="F27" s="391"/>
      <c r="G27" s="391"/>
      <c r="H27" s="391"/>
      <c r="I27" s="392"/>
      <c r="J27" s="444">
        <f t="shared" si="0"/>
        <v>0</v>
      </c>
    </row>
    <row r="28" spans="1:10">
      <c r="A28" s="390" t="s">
        <v>1438</v>
      </c>
      <c r="B28" s="390"/>
      <c r="C28" s="390"/>
      <c r="D28" s="392"/>
      <c r="E28" s="392"/>
      <c r="F28" s="391"/>
      <c r="G28" s="391"/>
      <c r="H28" s="391"/>
      <c r="I28" s="392"/>
      <c r="J28" s="444">
        <f t="shared" si="0"/>
        <v>0</v>
      </c>
    </row>
    <row r="29" spans="1:10" ht="26.4">
      <c r="A29" s="390" t="s">
        <v>759</v>
      </c>
      <c r="B29" s="391"/>
      <c r="C29" s="391"/>
      <c r="D29" s="392"/>
      <c r="E29" s="392"/>
      <c r="F29" s="391"/>
      <c r="G29" s="391"/>
      <c r="H29" s="391"/>
      <c r="I29" s="392"/>
      <c r="J29" s="444">
        <f t="shared" si="0"/>
        <v>0</v>
      </c>
    </row>
    <row r="30" spans="1:10">
      <c r="A30" s="390" t="s">
        <v>776</v>
      </c>
      <c r="B30" s="391"/>
      <c r="C30" s="391"/>
      <c r="D30" s="392"/>
      <c r="E30" s="392"/>
      <c r="F30" s="391"/>
      <c r="G30" s="391"/>
      <c r="H30" s="391"/>
      <c r="I30" s="392"/>
      <c r="J30" s="444">
        <f t="shared" si="0"/>
        <v>0</v>
      </c>
    </row>
    <row r="31" spans="1:10" ht="26.4">
      <c r="A31" s="390" t="s">
        <v>780</v>
      </c>
      <c r="B31" s="391"/>
      <c r="C31" s="391"/>
      <c r="D31" s="392"/>
      <c r="E31" s="392"/>
      <c r="F31" s="391"/>
      <c r="G31" s="391"/>
      <c r="H31" s="391"/>
      <c r="I31" s="392"/>
      <c r="J31" s="444">
        <f t="shared" si="0"/>
        <v>0</v>
      </c>
    </row>
    <row r="32" spans="1:10" ht="26.4">
      <c r="A32" s="390" t="s">
        <v>782</v>
      </c>
      <c r="B32" s="391"/>
      <c r="C32" s="391"/>
      <c r="D32" s="392"/>
      <c r="E32" s="392"/>
      <c r="F32" s="391"/>
      <c r="G32" s="391"/>
      <c r="H32" s="391"/>
      <c r="I32" s="392"/>
      <c r="J32" s="444">
        <f t="shared" si="0"/>
        <v>0</v>
      </c>
    </row>
    <row r="33" spans="1:10" ht="26.4">
      <c r="A33" s="390" t="s">
        <v>1440</v>
      </c>
      <c r="B33" s="391"/>
      <c r="C33" s="391"/>
      <c r="D33" s="392"/>
      <c r="E33" s="392"/>
      <c r="F33" s="391"/>
      <c r="G33" s="391"/>
      <c r="H33" s="391"/>
      <c r="I33" s="392"/>
      <c r="J33" s="444">
        <f t="shared" si="0"/>
        <v>0</v>
      </c>
    </row>
    <row r="34" spans="1:10">
      <c r="A34" s="390" t="s">
        <v>1441</v>
      </c>
      <c r="B34" s="391"/>
      <c r="C34" s="391"/>
      <c r="D34" s="392"/>
      <c r="E34" s="392"/>
      <c r="F34" s="391"/>
      <c r="G34" s="391"/>
      <c r="H34" s="391"/>
      <c r="I34" s="392"/>
      <c r="J34" s="444">
        <f t="shared" si="0"/>
        <v>0</v>
      </c>
    </row>
    <row r="35" spans="1:10" ht="26.4">
      <c r="A35" s="390" t="s">
        <v>853</v>
      </c>
      <c r="B35" s="391"/>
      <c r="C35" s="391"/>
      <c r="D35" s="392"/>
      <c r="E35" s="392"/>
      <c r="F35" s="391"/>
      <c r="G35" s="391"/>
      <c r="H35" s="391"/>
      <c r="I35" s="392"/>
      <c r="J35" s="444">
        <f t="shared" si="0"/>
        <v>0</v>
      </c>
    </row>
    <row r="36" spans="1:10" ht="26.4">
      <c r="A36" s="390" t="s">
        <v>858</v>
      </c>
      <c r="B36" s="391"/>
      <c r="C36" s="391"/>
      <c r="D36" s="392"/>
      <c r="E36" s="392"/>
      <c r="F36" s="391"/>
      <c r="G36" s="391"/>
      <c r="H36" s="391"/>
      <c r="I36" s="392"/>
      <c r="J36" s="444">
        <f t="shared" si="0"/>
        <v>0</v>
      </c>
    </row>
    <row r="37" spans="1:10">
      <c r="A37" s="390" t="s">
        <v>868</v>
      </c>
      <c r="B37" s="391"/>
      <c r="C37" s="391"/>
      <c r="D37" s="392"/>
      <c r="E37" s="392"/>
      <c r="F37" s="391"/>
      <c r="G37" s="391"/>
      <c r="H37" s="391"/>
      <c r="I37" s="392"/>
      <c r="J37" s="444">
        <f t="shared" si="0"/>
        <v>0</v>
      </c>
    </row>
    <row r="38" spans="1:10" ht="26.4">
      <c r="A38" s="390" t="s">
        <v>880</v>
      </c>
      <c r="B38" s="391"/>
      <c r="C38" s="391"/>
      <c r="D38" s="392"/>
      <c r="E38" s="392"/>
      <c r="F38" s="391"/>
      <c r="G38" s="391"/>
      <c r="H38" s="391"/>
      <c r="I38" s="392"/>
      <c r="J38" s="444">
        <f t="shared" si="0"/>
        <v>0</v>
      </c>
    </row>
    <row r="39" spans="1:10" ht="26.4">
      <c r="A39" s="390" t="s">
        <v>1442</v>
      </c>
      <c r="B39" s="391"/>
      <c r="C39" s="391"/>
      <c r="D39" s="392"/>
      <c r="E39" s="392"/>
      <c r="F39" s="391"/>
      <c r="G39" s="391"/>
      <c r="H39" s="391"/>
      <c r="I39" s="392"/>
      <c r="J39" s="444">
        <f t="shared" si="0"/>
        <v>0</v>
      </c>
    </row>
    <row r="40" spans="1:10" ht="26.4">
      <c r="A40" s="390" t="s">
        <v>1443</v>
      </c>
      <c r="B40" s="391"/>
      <c r="C40" s="391"/>
      <c r="D40" s="392"/>
      <c r="E40" s="392"/>
      <c r="F40" s="391"/>
      <c r="G40" s="391"/>
      <c r="H40" s="391"/>
      <c r="I40" s="392"/>
      <c r="J40" s="444">
        <f t="shared" si="0"/>
        <v>0</v>
      </c>
    </row>
    <row r="41" spans="1:10" ht="26.4">
      <c r="A41" s="390" t="s">
        <v>1444</v>
      </c>
      <c r="B41" s="391"/>
      <c r="C41" s="391"/>
      <c r="D41" s="392"/>
      <c r="E41" s="392"/>
      <c r="F41" s="391"/>
      <c r="G41" s="391"/>
      <c r="H41" s="391"/>
      <c r="I41" s="392"/>
      <c r="J41" s="444">
        <f t="shared" si="0"/>
        <v>0</v>
      </c>
    </row>
    <row r="42" spans="1:10" ht="26.4">
      <c r="A42" s="390" t="s">
        <v>911</v>
      </c>
      <c r="B42" s="391"/>
      <c r="C42" s="391"/>
      <c r="D42" s="392"/>
      <c r="E42" s="392"/>
      <c r="F42" s="391"/>
      <c r="G42" s="391"/>
      <c r="H42" s="391"/>
      <c r="I42" s="392"/>
      <c r="J42" s="444">
        <f t="shared" si="0"/>
        <v>0</v>
      </c>
    </row>
    <row r="43" spans="1:10" ht="26.4">
      <c r="A43" s="390" t="s">
        <v>1445</v>
      </c>
      <c r="B43" s="391"/>
      <c r="C43" s="391"/>
      <c r="D43" s="392"/>
      <c r="E43" s="392"/>
      <c r="F43" s="391"/>
      <c r="G43" s="391"/>
      <c r="H43" s="391"/>
      <c r="I43" s="392"/>
      <c r="J43" s="444">
        <f t="shared" si="0"/>
        <v>0</v>
      </c>
    </row>
    <row r="44" spans="1:10">
      <c r="A44" s="390" t="s">
        <v>926</v>
      </c>
      <c r="B44" s="391"/>
      <c r="C44" s="391"/>
      <c r="D44" s="392"/>
      <c r="E44" s="392"/>
      <c r="F44" s="391"/>
      <c r="G44" s="391"/>
      <c r="H44" s="391"/>
      <c r="I44" s="392"/>
      <c r="J44" s="444">
        <f t="shared" si="0"/>
        <v>0</v>
      </c>
    </row>
    <row r="45" spans="1:10">
      <c r="A45" s="445" t="s">
        <v>1413</v>
      </c>
      <c r="B45" s="393">
        <f>+SUM(B5:B44)</f>
        <v>0</v>
      </c>
      <c r="C45" s="393">
        <f t="shared" ref="C45:J45" si="1">+SUM(C5:C44)</f>
        <v>0</v>
      </c>
      <c r="D45" s="393">
        <f t="shared" si="1"/>
        <v>0</v>
      </c>
      <c r="E45" s="393">
        <f t="shared" si="1"/>
        <v>0</v>
      </c>
      <c r="F45" s="393">
        <f t="shared" si="1"/>
        <v>0</v>
      </c>
      <c r="G45" s="393">
        <f t="shared" si="1"/>
        <v>0</v>
      </c>
      <c r="H45" s="393">
        <f t="shared" si="1"/>
        <v>0</v>
      </c>
      <c r="I45" s="393">
        <f t="shared" si="1"/>
        <v>0</v>
      </c>
      <c r="J45" s="393">
        <f t="shared" si="1"/>
        <v>0</v>
      </c>
    </row>
    <row r="46" spans="1:10" ht="13.8" thickBot="1"/>
    <row r="47" spans="1:10" ht="13.8" thickBot="1">
      <c r="A47" s="394"/>
    </row>
    <row r="48" spans="1:10">
      <c r="A48" s="340"/>
      <c r="B48" s="340"/>
      <c r="C48" s="340"/>
      <c r="D48" s="340"/>
      <c r="E48" s="340"/>
      <c r="F48" s="340"/>
      <c r="I48" s="446"/>
    </row>
    <row r="49" spans="1:6">
      <c r="A49" s="340"/>
      <c r="B49" s="340"/>
      <c r="C49" s="340"/>
      <c r="D49" s="340"/>
      <c r="E49" s="340"/>
      <c r="F49" s="340"/>
    </row>
    <row r="50" spans="1:6">
      <c r="A50" s="340"/>
      <c r="B50" s="340"/>
      <c r="C50" s="340"/>
      <c r="D50" s="340"/>
      <c r="E50" s="340"/>
      <c r="F50" s="340"/>
    </row>
    <row r="51" spans="1:6">
      <c r="A51" s="340"/>
      <c r="B51" s="340"/>
      <c r="C51" s="340"/>
      <c r="D51" s="340"/>
      <c r="E51" s="340"/>
      <c r="F51" s="340"/>
    </row>
    <row r="52" spans="1:6">
      <c r="A52" s="340"/>
      <c r="B52" s="340"/>
      <c r="C52" s="340"/>
      <c r="D52" s="340"/>
      <c r="E52" s="340"/>
      <c r="F52" s="340"/>
    </row>
    <row r="53" spans="1:6">
      <c r="A53" s="340"/>
      <c r="B53" s="340"/>
      <c r="C53" s="340"/>
      <c r="D53" s="340"/>
      <c r="E53" s="340"/>
      <c r="F53" s="340"/>
    </row>
    <row r="54" spans="1:6">
      <c r="A54" s="340"/>
      <c r="B54" s="340"/>
      <c r="C54" s="340"/>
      <c r="D54" s="340"/>
      <c r="E54" s="340"/>
      <c r="F54" s="340"/>
    </row>
    <row r="55" spans="1:6">
      <c r="A55" s="340"/>
      <c r="B55" s="340"/>
      <c r="C55" s="340"/>
      <c r="D55" s="340"/>
      <c r="E55" s="340"/>
      <c r="F55" s="340"/>
    </row>
    <row r="56" spans="1:6">
      <c r="A56" s="340"/>
      <c r="B56" s="340"/>
      <c r="C56" s="340"/>
      <c r="D56" s="340"/>
      <c r="E56" s="340"/>
      <c r="F56" s="340"/>
    </row>
    <row r="57" spans="1:6">
      <c r="A57" s="340"/>
      <c r="B57" s="340"/>
      <c r="C57" s="340"/>
      <c r="D57" s="340"/>
      <c r="E57" s="340"/>
      <c r="F57" s="340"/>
    </row>
    <row r="58" spans="1:6">
      <c r="A58" s="340"/>
      <c r="B58" s="340"/>
      <c r="C58" s="340"/>
      <c r="D58" s="340"/>
      <c r="E58" s="340"/>
      <c r="F58" s="340"/>
    </row>
    <row r="59" spans="1:6">
      <c r="A59" s="340"/>
      <c r="B59" s="340"/>
      <c r="C59" s="340"/>
      <c r="D59" s="340"/>
      <c r="E59" s="340"/>
      <c r="F59" s="340"/>
    </row>
    <row r="60" spans="1:6">
      <c r="A60" s="340"/>
      <c r="B60" s="340"/>
      <c r="C60" s="340"/>
      <c r="D60" s="340"/>
      <c r="E60" s="340"/>
      <c r="F60" s="340"/>
    </row>
    <row r="61" spans="1:6">
      <c r="A61" s="340"/>
      <c r="B61" s="340"/>
      <c r="C61" s="340"/>
      <c r="D61" s="340"/>
      <c r="E61" s="340"/>
      <c r="F61" s="340"/>
    </row>
    <row r="62" spans="1:6">
      <c r="A62" s="340"/>
      <c r="B62" s="340"/>
      <c r="C62" s="340"/>
      <c r="D62" s="340"/>
      <c r="E62" s="340"/>
      <c r="F62" s="340"/>
    </row>
    <row r="63" spans="1:6">
      <c r="A63" s="340"/>
      <c r="B63" s="340"/>
      <c r="C63" s="340"/>
      <c r="D63" s="340"/>
      <c r="E63" s="340"/>
      <c r="F63" s="340"/>
    </row>
    <row r="64" spans="1:6">
      <c r="A64" s="340"/>
      <c r="B64" s="340"/>
      <c r="C64" s="340"/>
      <c r="D64" s="340"/>
      <c r="E64" s="340"/>
      <c r="F64" s="340"/>
    </row>
    <row r="65" spans="1:6">
      <c r="A65" s="340"/>
      <c r="B65" s="340"/>
      <c r="C65" s="340"/>
      <c r="D65" s="340"/>
      <c r="E65" s="340"/>
      <c r="F65" s="340"/>
    </row>
    <row r="66" spans="1:6">
      <c r="A66" s="340"/>
      <c r="B66" s="340"/>
      <c r="C66" s="340"/>
      <c r="D66" s="340"/>
      <c r="E66" s="340"/>
      <c r="F66" s="340"/>
    </row>
    <row r="67" spans="1:6">
      <c r="A67" s="340"/>
      <c r="B67" s="340"/>
      <c r="C67" s="340"/>
      <c r="D67" s="340"/>
      <c r="E67" s="340"/>
      <c r="F67" s="340"/>
    </row>
    <row r="68" spans="1:6">
      <c r="A68" s="340"/>
      <c r="B68" s="340"/>
      <c r="C68" s="340"/>
      <c r="D68" s="340"/>
      <c r="E68" s="340"/>
      <c r="F68" s="340"/>
    </row>
    <row r="69" spans="1:6">
      <c r="A69" s="340"/>
      <c r="B69" s="340"/>
      <c r="C69" s="340"/>
      <c r="D69" s="340"/>
      <c r="E69" s="340"/>
      <c r="F69" s="340"/>
    </row>
    <row r="70" spans="1:6">
      <c r="A70" s="340"/>
      <c r="B70" s="340"/>
      <c r="C70" s="340"/>
      <c r="D70" s="340"/>
      <c r="E70" s="340"/>
      <c r="F70" s="340"/>
    </row>
    <row r="71" spans="1:6">
      <c r="A71" s="340"/>
      <c r="B71" s="340"/>
      <c r="C71" s="340"/>
      <c r="D71" s="340"/>
      <c r="E71" s="340"/>
      <c r="F71" s="340"/>
    </row>
    <row r="72" spans="1:6">
      <c r="A72" s="340"/>
      <c r="B72" s="340"/>
      <c r="C72" s="340"/>
      <c r="D72" s="340"/>
      <c r="E72" s="340"/>
      <c r="F72" s="340"/>
    </row>
    <row r="73" spans="1:6">
      <c r="A73" s="340"/>
      <c r="B73" s="340"/>
      <c r="C73" s="340"/>
      <c r="D73" s="340"/>
      <c r="E73" s="340"/>
      <c r="F73" s="340"/>
    </row>
    <row r="74" spans="1:6">
      <c r="A74" s="340"/>
      <c r="B74" s="340"/>
      <c r="C74" s="340"/>
      <c r="D74" s="340"/>
      <c r="E74" s="340"/>
      <c r="F74" s="340"/>
    </row>
    <row r="75" spans="1:6">
      <c r="A75" s="340"/>
      <c r="B75" s="340"/>
      <c r="C75" s="340"/>
      <c r="D75" s="340"/>
      <c r="E75" s="340"/>
      <c r="F75" s="340"/>
    </row>
    <row r="76" spans="1:6">
      <c r="A76" s="340"/>
      <c r="B76" s="340"/>
      <c r="C76" s="340"/>
      <c r="D76" s="340"/>
      <c r="E76" s="340"/>
      <c r="F76" s="340"/>
    </row>
    <row r="77" spans="1:6">
      <c r="A77" s="340"/>
      <c r="B77" s="340"/>
      <c r="C77" s="340"/>
      <c r="D77" s="340"/>
      <c r="E77" s="340"/>
      <c r="F77" s="340"/>
    </row>
    <row r="78" spans="1:6">
      <c r="A78" s="340"/>
      <c r="B78" s="340"/>
      <c r="C78" s="340"/>
      <c r="D78" s="340"/>
      <c r="E78" s="340"/>
      <c r="F78" s="340"/>
    </row>
    <row r="79" spans="1:6">
      <c r="A79" s="340"/>
      <c r="B79" s="340"/>
      <c r="C79" s="340"/>
      <c r="D79" s="340"/>
      <c r="E79" s="340"/>
      <c r="F79" s="340"/>
    </row>
    <row r="80" spans="1:6">
      <c r="A80" s="340"/>
      <c r="B80" s="340"/>
      <c r="C80" s="340"/>
      <c r="D80" s="340"/>
      <c r="E80" s="340"/>
      <c r="F80" s="340"/>
    </row>
    <row r="81" spans="1:6">
      <c r="A81" s="340"/>
      <c r="B81" s="340"/>
      <c r="C81" s="340"/>
      <c r="D81" s="340"/>
      <c r="E81" s="340"/>
      <c r="F81" s="340"/>
    </row>
    <row r="82" spans="1:6">
      <c r="A82" s="340"/>
      <c r="B82" s="340"/>
      <c r="C82" s="340"/>
      <c r="D82" s="340"/>
      <c r="E82" s="340"/>
      <c r="F82" s="340"/>
    </row>
    <row r="83" spans="1:6">
      <c r="A83" s="340"/>
      <c r="B83" s="340"/>
      <c r="C83" s="340"/>
      <c r="D83" s="340"/>
      <c r="E83" s="340"/>
      <c r="F83" s="340"/>
    </row>
    <row r="84" spans="1:6">
      <c r="A84" s="340"/>
      <c r="B84" s="340"/>
      <c r="C84" s="340"/>
      <c r="D84" s="340"/>
      <c r="E84" s="340"/>
      <c r="F84" s="340"/>
    </row>
    <row r="85" spans="1:6">
      <c r="A85" s="340"/>
      <c r="B85" s="340"/>
      <c r="C85" s="340"/>
      <c r="D85" s="340"/>
      <c r="E85" s="340"/>
      <c r="F85" s="340"/>
    </row>
    <row r="86" spans="1:6">
      <c r="A86" s="340"/>
      <c r="B86" s="340"/>
      <c r="C86" s="340"/>
      <c r="D86" s="340"/>
      <c r="E86" s="340"/>
      <c r="F86" s="340"/>
    </row>
    <row r="87" spans="1:6">
      <c r="A87" s="340"/>
      <c r="B87" s="340"/>
      <c r="C87" s="340"/>
      <c r="D87" s="340"/>
      <c r="E87" s="340"/>
      <c r="F87" s="340"/>
    </row>
    <row r="88" spans="1:6">
      <c r="A88" s="340"/>
      <c r="B88" s="340"/>
      <c r="C88" s="340"/>
      <c r="D88" s="340"/>
      <c r="E88" s="340"/>
      <c r="F88" s="340"/>
    </row>
    <row r="89" spans="1:6">
      <c r="A89" s="340"/>
      <c r="B89" s="340"/>
      <c r="C89" s="340"/>
      <c r="D89" s="340"/>
      <c r="E89" s="340"/>
      <c r="F89" s="340"/>
    </row>
    <row r="90" spans="1:6">
      <c r="A90" s="340"/>
      <c r="B90" s="340"/>
      <c r="C90" s="340"/>
      <c r="D90" s="340"/>
      <c r="E90" s="340"/>
      <c r="F90" s="340"/>
    </row>
    <row r="91" spans="1:6">
      <c r="A91" s="340"/>
      <c r="B91" s="340"/>
      <c r="C91" s="340"/>
      <c r="D91" s="340"/>
      <c r="E91" s="340"/>
      <c r="F91" s="340"/>
    </row>
    <row r="92" spans="1:6">
      <c r="A92" s="340"/>
      <c r="B92" s="340"/>
      <c r="C92" s="340"/>
      <c r="D92" s="340"/>
      <c r="E92" s="340"/>
      <c r="F92" s="340"/>
    </row>
    <row r="93" spans="1:6">
      <c r="A93" s="340"/>
      <c r="B93" s="340"/>
      <c r="C93" s="340"/>
      <c r="D93" s="340"/>
      <c r="E93" s="340"/>
      <c r="F93" s="340"/>
    </row>
    <row r="94" spans="1:6">
      <c r="A94" s="340"/>
      <c r="B94" s="340"/>
      <c r="C94" s="340"/>
      <c r="D94" s="340"/>
      <c r="E94" s="340"/>
      <c r="F94" s="340"/>
    </row>
    <row r="95" spans="1:6">
      <c r="A95" s="340"/>
      <c r="B95" s="340"/>
      <c r="C95" s="340"/>
      <c r="D95" s="340"/>
      <c r="E95" s="340"/>
      <c r="F95" s="340"/>
    </row>
    <row r="96" spans="1:6">
      <c r="A96" s="340"/>
      <c r="B96" s="340"/>
      <c r="C96" s="340"/>
      <c r="D96" s="340"/>
      <c r="E96" s="340"/>
      <c r="F96" s="340"/>
    </row>
    <row r="97" spans="1:6">
      <c r="A97" s="340"/>
      <c r="B97" s="340"/>
      <c r="C97" s="340"/>
      <c r="D97" s="340"/>
      <c r="E97" s="340"/>
      <c r="F97" s="340"/>
    </row>
    <row r="98" spans="1:6">
      <c r="A98" s="340"/>
      <c r="B98" s="340"/>
      <c r="C98" s="340"/>
      <c r="D98" s="340"/>
      <c r="E98" s="340"/>
      <c r="F98" s="340"/>
    </row>
    <row r="99" spans="1:6">
      <c r="A99" s="340"/>
      <c r="B99" s="340"/>
      <c r="C99" s="340"/>
      <c r="D99" s="340"/>
      <c r="E99" s="340"/>
      <c r="F99" s="340"/>
    </row>
    <row r="100" spans="1:6">
      <c r="A100" s="340"/>
      <c r="B100" s="340"/>
      <c r="C100" s="340"/>
      <c r="D100" s="340"/>
      <c r="E100" s="340"/>
      <c r="F100" s="340"/>
    </row>
    <row r="101" spans="1:6">
      <c r="A101" s="340"/>
      <c r="B101" s="340"/>
      <c r="C101" s="340"/>
      <c r="D101" s="340"/>
      <c r="E101" s="340"/>
      <c r="F101" s="340"/>
    </row>
    <row r="102" spans="1:6">
      <c r="A102" s="340"/>
      <c r="B102" s="340"/>
      <c r="C102" s="340"/>
      <c r="D102" s="340"/>
      <c r="E102" s="340"/>
      <c r="F102" s="340"/>
    </row>
    <row r="103" spans="1:6">
      <c r="A103" s="340"/>
      <c r="B103" s="340"/>
      <c r="C103" s="340"/>
      <c r="D103" s="340"/>
      <c r="E103" s="340"/>
      <c r="F103" s="340"/>
    </row>
    <row r="104" spans="1:6">
      <c r="A104" s="340"/>
      <c r="B104" s="340"/>
      <c r="C104" s="340"/>
      <c r="D104" s="340"/>
      <c r="E104" s="340"/>
      <c r="F104" s="340"/>
    </row>
    <row r="105" spans="1:6">
      <c r="A105" s="340"/>
      <c r="B105" s="340"/>
      <c r="C105" s="340"/>
      <c r="D105" s="340"/>
      <c r="E105" s="340"/>
      <c r="F105" s="340"/>
    </row>
    <row r="106" spans="1:6">
      <c r="A106" s="340"/>
      <c r="B106" s="340"/>
      <c r="C106" s="340"/>
      <c r="D106" s="340"/>
      <c r="E106" s="340"/>
      <c r="F106" s="340"/>
    </row>
  </sheetData>
  <sheetProtection password="C3C4" sheet="1" objects="1" scenarios="1"/>
  <dataValidations count="1">
    <dataValidation type="whole" allowBlank="1" showInputMessage="1" showErrorMessage="1" errorTitle="Data Validation" error="Please enter a whole number between 0 and 2147483647." sqref="F5:H5 F20:H44 B5:C44" xr:uid="{1AEB0EB0-8B2A-434A-AAAD-F3BD886AA0B2}">
      <formula1>0</formula1>
      <formula2>2147483647</formula2>
    </dataValidation>
  </dataValidations>
  <pageMargins left="0.7" right="0.7" top="0.75" bottom="0.75" header="0.3" footer="0.3"/>
  <ignoredErrors>
    <ignoredError sqref="B13:C15 B11 B12:C12 B16:C16 D13:I15 D12:F12 D16:I16 D11:F11 H11:I11 H12:I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4"/>
  <sheetViews>
    <sheetView showGridLines="0" tabSelected="1" zoomScaleNormal="100" workbookViewId="0"/>
  </sheetViews>
  <sheetFormatPr defaultColWidth="9.109375" defaultRowHeight="22.5" customHeight="1"/>
  <cols>
    <col min="1" max="1" width="149.6640625" style="2" bestFit="1" customWidth="1"/>
    <col min="2" max="16384" width="9.109375" style="2"/>
  </cols>
  <sheetData>
    <row r="1" spans="1:1" ht="22.5" customHeight="1">
      <c r="A1" s="243" t="s">
        <v>240</v>
      </c>
    </row>
    <row r="2" spans="1:1" ht="22.5" customHeight="1">
      <c r="A2" s="243" t="s">
        <v>241</v>
      </c>
    </row>
    <row r="3" spans="1:1" ht="22.5" customHeight="1">
      <c r="A3" s="243" t="s">
        <v>242</v>
      </c>
    </row>
    <row r="4" spans="1:1" ht="22.5" customHeight="1">
      <c r="A4" s="243"/>
    </row>
    <row r="5" spans="1:1" ht="22.5" customHeight="1">
      <c r="A5" s="518" t="s">
        <v>243</v>
      </c>
    </row>
    <row r="6" spans="1:1" ht="22.5" customHeight="1">
      <c r="A6" s="243"/>
    </row>
    <row r="7" spans="1:1" ht="22.5" customHeight="1">
      <c r="A7" s="243" t="s">
        <v>244</v>
      </c>
    </row>
    <row r="8" spans="1:1" ht="22.5" customHeight="1">
      <c r="A8" s="243" t="s">
        <v>245</v>
      </c>
    </row>
    <row r="9" spans="1:1" ht="22.5" customHeight="1">
      <c r="A9" s="243" t="s">
        <v>246</v>
      </c>
    </row>
    <row r="10" spans="1:1" ht="22.5" customHeight="1">
      <c r="A10" s="243"/>
    </row>
    <row r="11" spans="1:1" ht="22.5" customHeight="1">
      <c r="A11" s="243" t="s">
        <v>247</v>
      </c>
    </row>
    <row r="12" spans="1:1" ht="22.5" customHeight="1">
      <c r="A12" s="244" t="s">
        <v>248</v>
      </c>
    </row>
    <row r="13" spans="1:1" ht="22.5" customHeight="1">
      <c r="A13" s="243"/>
    </row>
    <row r="14" spans="1:1" ht="22.5" customHeight="1">
      <c r="A14" s="243" t="s">
        <v>249</v>
      </c>
    </row>
  </sheetData>
  <sheetProtection password="C3C4" sheet="1" objects="1" scenarios="1"/>
  <hyperlinks>
    <hyperlink ref="A12" r:id="rId1" xr:uid="{00000000-0004-0000-0400-000000000000}"/>
  </hyperlinks>
  <pageMargins left="0.7" right="0.7" top="0.75" bottom="0.75" header="0.3" footer="0.3"/>
  <pageSetup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3A474-065E-4E06-91E5-FD6ED253608F}">
  <sheetPr>
    <tabColor theme="8" tint="0.39997558519241921"/>
  </sheetPr>
  <dimension ref="A1:M181"/>
  <sheetViews>
    <sheetView workbookViewId="0">
      <selection activeCell="G9" sqref="G9"/>
    </sheetView>
  </sheetViews>
  <sheetFormatPr defaultColWidth="8.88671875" defaultRowHeight="13.2"/>
  <cols>
    <col min="1" max="1" width="21.88671875" style="15" bestFit="1" customWidth="1"/>
    <col min="2" max="10" width="15.6640625" style="15" customWidth="1"/>
    <col min="11" max="16384" width="8.88671875" style="15"/>
  </cols>
  <sheetData>
    <row r="1" spans="1:13">
      <c r="A1" s="384"/>
      <c r="B1" s="385"/>
      <c r="C1" s="385"/>
      <c r="F1" s="385"/>
      <c r="G1" s="385"/>
      <c r="H1" s="385"/>
    </row>
    <row r="2" spans="1:13">
      <c r="A2" s="398" t="s">
        <v>1451</v>
      </c>
      <c r="B2" s="386"/>
      <c r="C2" s="386"/>
      <c r="F2" s="386"/>
      <c r="G2" s="386"/>
      <c r="H2" s="386"/>
    </row>
    <row r="3" spans="1:13">
      <c r="A3" s="387"/>
      <c r="B3" s="388"/>
      <c r="C3" s="388"/>
      <c r="F3" s="388"/>
      <c r="G3" s="388"/>
      <c r="H3" s="388"/>
    </row>
    <row r="4" spans="1:13" ht="39.6">
      <c r="A4" s="395" t="s">
        <v>1421</v>
      </c>
      <c r="B4" s="395" t="s">
        <v>1452</v>
      </c>
      <c r="C4" s="395" t="s">
        <v>1399</v>
      </c>
      <c r="D4" s="395" t="s">
        <v>1422</v>
      </c>
      <c r="E4" s="395" t="s">
        <v>1423</v>
      </c>
      <c r="F4" s="395" t="s">
        <v>1424</v>
      </c>
      <c r="G4" s="395" t="s">
        <v>1425</v>
      </c>
      <c r="H4" s="395" t="s">
        <v>1426</v>
      </c>
      <c r="I4" s="395" t="s">
        <v>1427</v>
      </c>
      <c r="J4" s="395" t="s">
        <v>210</v>
      </c>
    </row>
    <row r="5" spans="1:13">
      <c r="A5" s="390" t="s">
        <v>369</v>
      </c>
      <c r="B5" s="391"/>
      <c r="C5" s="391"/>
      <c r="D5" s="392"/>
      <c r="E5" s="392"/>
      <c r="F5" s="391"/>
      <c r="G5" s="391"/>
      <c r="H5" s="391"/>
      <c r="I5" s="392"/>
      <c r="J5" s="444">
        <f t="shared" ref="J5:J44" si="0">+SUM(B5:I5)</f>
        <v>0</v>
      </c>
    </row>
    <row r="6" spans="1:13">
      <c r="A6" s="390" t="s">
        <v>377</v>
      </c>
      <c r="B6" s="391"/>
      <c r="C6" s="391"/>
      <c r="D6" s="392"/>
      <c r="E6" s="392"/>
      <c r="F6" s="392"/>
      <c r="G6" s="392"/>
      <c r="H6" s="392"/>
      <c r="I6" s="392"/>
      <c r="J6" s="444">
        <f t="shared" si="0"/>
        <v>0</v>
      </c>
    </row>
    <row r="7" spans="1:13">
      <c r="A7" s="390" t="s">
        <v>385</v>
      </c>
      <c r="B7" s="391"/>
      <c r="C7" s="391"/>
      <c r="D7" s="392"/>
      <c r="E7" s="392"/>
      <c r="F7" s="392"/>
      <c r="G7" s="392"/>
      <c r="H7" s="392"/>
      <c r="I7" s="392"/>
      <c r="J7" s="444">
        <f t="shared" si="0"/>
        <v>0</v>
      </c>
      <c r="L7" s="15" t="s">
        <v>1449</v>
      </c>
      <c r="M7" s="15" t="s">
        <v>1450</v>
      </c>
    </row>
    <row r="8" spans="1:13" ht="26.4">
      <c r="A8" s="389" t="s">
        <v>1428</v>
      </c>
      <c r="B8" s="494">
        <f>'III-C2 - #12119'!C14</f>
        <v>0</v>
      </c>
      <c r="C8" s="494">
        <f>'NSIP 18-19 - #13219'!C14+'NSIP 17-18 - #13218'!C14</f>
        <v>0</v>
      </c>
      <c r="D8" s="495">
        <f>'III-C2 - #12119'!D14+'SCS - #11519'!D14</f>
        <v>0</v>
      </c>
      <c r="E8" s="495">
        <f>'III-C2 - #12119'!E14+'SCS - #11519'!E14</f>
        <v>0</v>
      </c>
      <c r="F8" s="495">
        <f>'III-C2 - #12119'!F14+'SCS - #11519'!F14</f>
        <v>0</v>
      </c>
      <c r="G8" s="495">
        <f>'III-C2 - #12119'!G14+'SCS - #11519'!C14+'SCS - #11519'!G14</f>
        <v>0</v>
      </c>
      <c r="H8" s="495">
        <f>'III-C2 - #12119'!H14+'SCS - #11519'!H14</f>
        <v>0</v>
      </c>
      <c r="I8" s="495">
        <f>'III-C2 - #12119'!J14+'III-C2 - #12119'!L14+'SCS - #11519'!K14+'SCS - #11519'!L14</f>
        <v>0</v>
      </c>
      <c r="J8" s="396">
        <f t="shared" si="0"/>
        <v>0</v>
      </c>
      <c r="L8" s="147">
        <f>'NSIP 17-18 - #13218'!C14</f>
        <v>0</v>
      </c>
      <c r="M8" s="147">
        <f>'NSIP 18-19 - #13219'!C14</f>
        <v>0</v>
      </c>
    </row>
    <row r="9" spans="1:13" ht="26.4">
      <c r="A9" s="390" t="s">
        <v>416</v>
      </c>
      <c r="B9" s="491"/>
      <c r="C9" s="491"/>
      <c r="D9" s="492"/>
      <c r="E9" s="492"/>
      <c r="F9" s="492"/>
      <c r="G9" s="492"/>
      <c r="H9" s="492"/>
      <c r="I9" s="492"/>
      <c r="J9" s="444">
        <f t="shared" si="0"/>
        <v>0</v>
      </c>
    </row>
    <row r="10" spans="1:13">
      <c r="A10" s="390" t="s">
        <v>420</v>
      </c>
      <c r="B10" s="491"/>
      <c r="C10" s="491"/>
      <c r="D10" s="492"/>
      <c r="E10" s="492"/>
      <c r="F10" s="492"/>
      <c r="G10" s="492"/>
      <c r="H10" s="492"/>
      <c r="I10" s="492"/>
      <c r="J10" s="444">
        <f t="shared" si="0"/>
        <v>0</v>
      </c>
    </row>
    <row r="11" spans="1:13">
      <c r="A11" s="390" t="s">
        <v>422</v>
      </c>
      <c r="B11" s="491"/>
      <c r="C11" s="491"/>
      <c r="D11" s="492"/>
      <c r="E11" s="492"/>
      <c r="F11" s="492"/>
      <c r="G11" s="492"/>
      <c r="H11" s="492"/>
      <c r="I11" s="492"/>
      <c r="J11" s="444">
        <f t="shared" si="0"/>
        <v>0</v>
      </c>
    </row>
    <row r="12" spans="1:13">
      <c r="A12" s="389" t="s">
        <v>1429</v>
      </c>
      <c r="B12" s="494">
        <f>'III-C2 - #12119'!C18</f>
        <v>0</v>
      </c>
      <c r="C12" s="491"/>
      <c r="D12" s="495">
        <f>'III-C2 - #12119'!D18</f>
        <v>0</v>
      </c>
      <c r="E12" s="495">
        <f>'III-C2 - #12119'!E18</f>
        <v>0</v>
      </c>
      <c r="F12" s="495">
        <f>'III-C2 - #12119'!F18</f>
        <v>0</v>
      </c>
      <c r="G12" s="495">
        <f>'III-C2 - #12119'!G18</f>
        <v>0</v>
      </c>
      <c r="H12" s="495">
        <f>'III-C2 - #12119'!H18</f>
        <v>0</v>
      </c>
      <c r="I12" s="495">
        <f>'III-C2 - #12119'!J18+'III-C2 - #12119'!L18</f>
        <v>0</v>
      </c>
      <c r="J12" s="396">
        <f t="shared" si="0"/>
        <v>0</v>
      </c>
    </row>
    <row r="13" spans="1:13" ht="25.2" customHeight="1">
      <c r="A13" s="390" t="s">
        <v>1430</v>
      </c>
      <c r="B13" s="491"/>
      <c r="C13" s="491"/>
      <c r="D13" s="492"/>
      <c r="E13" s="492"/>
      <c r="F13" s="492"/>
      <c r="G13" s="492"/>
      <c r="H13" s="492"/>
      <c r="I13" s="492"/>
      <c r="J13" s="444">
        <f t="shared" si="0"/>
        <v>0</v>
      </c>
    </row>
    <row r="14" spans="1:13">
      <c r="A14" s="390" t="s">
        <v>490</v>
      </c>
      <c r="B14" s="491"/>
      <c r="C14" s="491"/>
      <c r="D14" s="492"/>
      <c r="E14" s="492"/>
      <c r="F14" s="492"/>
      <c r="G14" s="492"/>
      <c r="H14" s="492"/>
      <c r="I14" s="492"/>
      <c r="J14" s="444">
        <f t="shared" si="0"/>
        <v>0</v>
      </c>
    </row>
    <row r="15" spans="1:13">
      <c r="A15" s="390" t="s">
        <v>1431</v>
      </c>
      <c r="B15" s="491"/>
      <c r="C15" s="491"/>
      <c r="D15" s="492"/>
      <c r="E15" s="492"/>
      <c r="F15" s="492"/>
      <c r="G15" s="492"/>
      <c r="H15" s="492"/>
      <c r="I15" s="492"/>
      <c r="J15" s="444">
        <f t="shared" si="0"/>
        <v>0</v>
      </c>
    </row>
    <row r="16" spans="1:13">
      <c r="A16" s="389" t="s">
        <v>1432</v>
      </c>
      <c r="B16" s="494">
        <f>'III-C2 - #12119'!C22</f>
        <v>0</v>
      </c>
      <c r="C16" s="491"/>
      <c r="D16" s="495">
        <f>'III-C2 - #12119'!D22</f>
        <v>0</v>
      </c>
      <c r="E16" s="495">
        <f>'III-C2 - #12119'!E22</f>
        <v>0</v>
      </c>
      <c r="F16" s="495">
        <f>'III-C2 - #12119'!F22</f>
        <v>0</v>
      </c>
      <c r="G16" s="495">
        <f>'III-C2 - #12119'!G22</f>
        <v>0</v>
      </c>
      <c r="H16" s="495">
        <f>'III-C2 - #12119'!H22</f>
        <v>0</v>
      </c>
      <c r="I16" s="495">
        <f>'III-C2 - #12119'!J22+'III-C2 - #12119'!L22</f>
        <v>0</v>
      </c>
      <c r="J16" s="396">
        <f t="shared" si="0"/>
        <v>0</v>
      </c>
    </row>
    <row r="17" spans="1:10" ht="26.4">
      <c r="A17" s="390" t="s">
        <v>518</v>
      </c>
      <c r="B17" s="391"/>
      <c r="C17" s="391"/>
      <c r="D17" s="392"/>
      <c r="E17" s="392"/>
      <c r="F17" s="392"/>
      <c r="G17" s="392"/>
      <c r="H17" s="392"/>
      <c r="I17" s="392"/>
      <c r="J17" s="444">
        <f t="shared" si="0"/>
        <v>0</v>
      </c>
    </row>
    <row r="18" spans="1:10" ht="26.4">
      <c r="A18" s="390" t="s">
        <v>1433</v>
      </c>
      <c r="B18" s="391"/>
      <c r="C18" s="391"/>
      <c r="D18" s="392"/>
      <c r="E18" s="392"/>
      <c r="F18" s="392"/>
      <c r="G18" s="392"/>
      <c r="H18" s="392"/>
      <c r="I18" s="392"/>
      <c r="J18" s="444">
        <f t="shared" si="0"/>
        <v>0</v>
      </c>
    </row>
    <row r="19" spans="1:10" ht="26.4">
      <c r="A19" s="390" t="s">
        <v>1434</v>
      </c>
      <c r="B19" s="391"/>
      <c r="C19" s="391"/>
      <c r="D19" s="392"/>
      <c r="E19" s="392"/>
      <c r="F19" s="392"/>
      <c r="G19" s="392"/>
      <c r="H19" s="392"/>
      <c r="I19" s="392"/>
      <c r="J19" s="444">
        <f t="shared" si="0"/>
        <v>0</v>
      </c>
    </row>
    <row r="20" spans="1:10">
      <c r="A20" s="390" t="s">
        <v>1435</v>
      </c>
      <c r="B20" s="391"/>
      <c r="C20" s="391"/>
      <c r="D20" s="392"/>
      <c r="E20" s="392"/>
      <c r="F20" s="391"/>
      <c r="G20" s="391"/>
      <c r="H20" s="391"/>
      <c r="I20" s="392"/>
      <c r="J20" s="444">
        <f t="shared" si="0"/>
        <v>0</v>
      </c>
    </row>
    <row r="21" spans="1:10">
      <c r="A21" s="390" t="s">
        <v>1436</v>
      </c>
      <c r="B21" s="391"/>
      <c r="C21" s="391"/>
      <c r="D21" s="392"/>
      <c r="E21" s="392"/>
      <c r="F21" s="391"/>
      <c r="G21" s="391"/>
      <c r="H21" s="391"/>
      <c r="I21" s="392"/>
      <c r="J21" s="444">
        <f t="shared" si="0"/>
        <v>0</v>
      </c>
    </row>
    <row r="22" spans="1:10">
      <c r="A22" s="390" t="s">
        <v>583</v>
      </c>
      <c r="B22" s="391"/>
      <c r="C22" s="391"/>
      <c r="D22" s="392"/>
      <c r="E22" s="392"/>
      <c r="F22" s="391"/>
      <c r="G22" s="391"/>
      <c r="H22" s="391"/>
      <c r="I22" s="392"/>
      <c r="J22" s="444">
        <f t="shared" si="0"/>
        <v>0</v>
      </c>
    </row>
    <row r="23" spans="1:10">
      <c r="A23" s="390" t="s">
        <v>587</v>
      </c>
      <c r="B23" s="391"/>
      <c r="C23" s="391"/>
      <c r="D23" s="392"/>
      <c r="E23" s="392"/>
      <c r="F23" s="391"/>
      <c r="G23" s="391"/>
      <c r="H23" s="391"/>
      <c r="I23" s="392"/>
      <c r="J23" s="444">
        <f t="shared" si="0"/>
        <v>0</v>
      </c>
    </row>
    <row r="24" spans="1:10">
      <c r="A24" s="390" t="s">
        <v>808</v>
      </c>
      <c r="B24" s="391"/>
      <c r="C24" s="391"/>
      <c r="D24" s="392"/>
      <c r="E24" s="392"/>
      <c r="F24" s="391"/>
      <c r="G24" s="391"/>
      <c r="H24" s="391"/>
      <c r="I24" s="392"/>
      <c r="J24" s="444">
        <f t="shared" si="0"/>
        <v>0</v>
      </c>
    </row>
    <row r="25" spans="1:10" ht="26.4">
      <c r="A25" s="390" t="s">
        <v>593</v>
      </c>
      <c r="B25" s="391"/>
      <c r="C25" s="391"/>
      <c r="D25" s="392"/>
      <c r="E25" s="392"/>
      <c r="F25" s="391"/>
      <c r="G25" s="391"/>
      <c r="H25" s="391"/>
      <c r="I25" s="392"/>
      <c r="J25" s="444">
        <f t="shared" si="0"/>
        <v>0</v>
      </c>
    </row>
    <row r="26" spans="1:10" ht="26.4">
      <c r="A26" s="390" t="s">
        <v>1437</v>
      </c>
      <c r="B26" s="391"/>
      <c r="C26" s="391"/>
      <c r="D26" s="392"/>
      <c r="E26" s="392"/>
      <c r="F26" s="391"/>
      <c r="G26" s="391"/>
      <c r="H26" s="391"/>
      <c r="I26" s="392"/>
      <c r="J26" s="444">
        <f t="shared" si="0"/>
        <v>0</v>
      </c>
    </row>
    <row r="27" spans="1:10" ht="26.4">
      <c r="A27" s="390" t="s">
        <v>601</v>
      </c>
      <c r="B27" s="391"/>
      <c r="C27" s="391"/>
      <c r="D27" s="392"/>
      <c r="E27" s="392"/>
      <c r="F27" s="391"/>
      <c r="G27" s="391"/>
      <c r="H27" s="391"/>
      <c r="I27" s="392"/>
      <c r="J27" s="444">
        <f t="shared" si="0"/>
        <v>0</v>
      </c>
    </row>
    <row r="28" spans="1:10">
      <c r="A28" s="390" t="s">
        <v>1438</v>
      </c>
      <c r="B28" s="390"/>
      <c r="C28" s="390"/>
      <c r="D28" s="392"/>
      <c r="E28" s="392"/>
      <c r="F28" s="391"/>
      <c r="G28" s="391"/>
      <c r="H28" s="391"/>
      <c r="I28" s="392"/>
      <c r="J28" s="444">
        <f t="shared" si="0"/>
        <v>0</v>
      </c>
    </row>
    <row r="29" spans="1:10" ht="26.4">
      <c r="A29" s="390" t="s">
        <v>759</v>
      </c>
      <c r="B29" s="391"/>
      <c r="C29" s="391"/>
      <c r="D29" s="392"/>
      <c r="E29" s="392"/>
      <c r="F29" s="391"/>
      <c r="G29" s="391"/>
      <c r="H29" s="391"/>
      <c r="I29" s="392"/>
      <c r="J29" s="444">
        <f t="shared" si="0"/>
        <v>0</v>
      </c>
    </row>
    <row r="30" spans="1:10">
      <c r="A30" s="390" t="s">
        <v>776</v>
      </c>
      <c r="B30" s="391"/>
      <c r="C30" s="391"/>
      <c r="D30" s="392"/>
      <c r="E30" s="392"/>
      <c r="F30" s="391"/>
      <c r="G30" s="391"/>
      <c r="H30" s="391"/>
      <c r="I30" s="392"/>
      <c r="J30" s="444">
        <f t="shared" si="0"/>
        <v>0</v>
      </c>
    </row>
    <row r="31" spans="1:10" ht="26.4">
      <c r="A31" s="390" t="s">
        <v>780</v>
      </c>
      <c r="B31" s="391"/>
      <c r="C31" s="391"/>
      <c r="D31" s="392"/>
      <c r="E31" s="392"/>
      <c r="F31" s="391"/>
      <c r="G31" s="391"/>
      <c r="H31" s="391"/>
      <c r="I31" s="392"/>
      <c r="J31" s="444">
        <f t="shared" si="0"/>
        <v>0</v>
      </c>
    </row>
    <row r="32" spans="1:10" ht="26.4">
      <c r="A32" s="390" t="s">
        <v>782</v>
      </c>
      <c r="B32" s="391"/>
      <c r="C32" s="391"/>
      <c r="D32" s="392"/>
      <c r="E32" s="392"/>
      <c r="F32" s="391"/>
      <c r="G32" s="391"/>
      <c r="H32" s="391"/>
      <c r="I32" s="392"/>
      <c r="J32" s="444">
        <f t="shared" si="0"/>
        <v>0</v>
      </c>
    </row>
    <row r="33" spans="1:10" ht="26.4">
      <c r="A33" s="390" t="s">
        <v>1440</v>
      </c>
      <c r="B33" s="391"/>
      <c r="C33" s="391"/>
      <c r="D33" s="392"/>
      <c r="E33" s="392"/>
      <c r="F33" s="391"/>
      <c r="G33" s="391"/>
      <c r="H33" s="391"/>
      <c r="I33" s="392"/>
      <c r="J33" s="444">
        <f t="shared" si="0"/>
        <v>0</v>
      </c>
    </row>
    <row r="34" spans="1:10">
      <c r="A34" s="390" t="s">
        <v>1441</v>
      </c>
      <c r="B34" s="391"/>
      <c r="C34" s="391"/>
      <c r="D34" s="392"/>
      <c r="E34" s="392"/>
      <c r="F34" s="391"/>
      <c r="G34" s="391"/>
      <c r="H34" s="391"/>
      <c r="I34" s="392"/>
      <c r="J34" s="444">
        <f t="shared" si="0"/>
        <v>0</v>
      </c>
    </row>
    <row r="35" spans="1:10" ht="26.4">
      <c r="A35" s="390" t="s">
        <v>853</v>
      </c>
      <c r="B35" s="391"/>
      <c r="C35" s="391"/>
      <c r="D35" s="392"/>
      <c r="E35" s="392"/>
      <c r="F35" s="391"/>
      <c r="G35" s="391"/>
      <c r="H35" s="391"/>
      <c r="I35" s="392"/>
      <c r="J35" s="444">
        <f t="shared" si="0"/>
        <v>0</v>
      </c>
    </row>
    <row r="36" spans="1:10" ht="26.4">
      <c r="A36" s="390" t="s">
        <v>858</v>
      </c>
      <c r="B36" s="391"/>
      <c r="C36" s="391"/>
      <c r="D36" s="392"/>
      <c r="E36" s="392"/>
      <c r="F36" s="391"/>
      <c r="G36" s="391"/>
      <c r="H36" s="391"/>
      <c r="I36" s="392"/>
      <c r="J36" s="444">
        <f t="shared" si="0"/>
        <v>0</v>
      </c>
    </row>
    <row r="37" spans="1:10">
      <c r="A37" s="390" t="s">
        <v>868</v>
      </c>
      <c r="B37" s="391"/>
      <c r="C37" s="391"/>
      <c r="D37" s="392"/>
      <c r="E37" s="392"/>
      <c r="F37" s="391"/>
      <c r="G37" s="391"/>
      <c r="H37" s="391"/>
      <c r="I37" s="392"/>
      <c r="J37" s="444">
        <f t="shared" si="0"/>
        <v>0</v>
      </c>
    </row>
    <row r="38" spans="1:10" ht="26.4">
      <c r="A38" s="390" t="s">
        <v>880</v>
      </c>
      <c r="B38" s="391"/>
      <c r="C38" s="391"/>
      <c r="D38" s="392"/>
      <c r="E38" s="392"/>
      <c r="F38" s="391"/>
      <c r="G38" s="391"/>
      <c r="H38" s="391"/>
      <c r="I38" s="392"/>
      <c r="J38" s="444">
        <f t="shared" si="0"/>
        <v>0</v>
      </c>
    </row>
    <row r="39" spans="1:10" ht="26.4">
      <c r="A39" s="390" t="s">
        <v>1442</v>
      </c>
      <c r="B39" s="391"/>
      <c r="C39" s="391"/>
      <c r="D39" s="392"/>
      <c r="E39" s="392"/>
      <c r="F39" s="391"/>
      <c r="G39" s="391"/>
      <c r="H39" s="391"/>
      <c r="I39" s="392"/>
      <c r="J39" s="444">
        <f t="shared" si="0"/>
        <v>0</v>
      </c>
    </row>
    <row r="40" spans="1:10" ht="26.4">
      <c r="A40" s="390" t="s">
        <v>1443</v>
      </c>
      <c r="B40" s="391"/>
      <c r="C40" s="391"/>
      <c r="D40" s="392"/>
      <c r="E40" s="392"/>
      <c r="F40" s="391"/>
      <c r="G40" s="391"/>
      <c r="H40" s="391"/>
      <c r="I40" s="392"/>
      <c r="J40" s="444">
        <f t="shared" si="0"/>
        <v>0</v>
      </c>
    </row>
    <row r="41" spans="1:10" ht="26.4">
      <c r="A41" s="390" t="s">
        <v>1444</v>
      </c>
      <c r="B41" s="391"/>
      <c r="C41" s="391"/>
      <c r="D41" s="392"/>
      <c r="E41" s="392"/>
      <c r="F41" s="391"/>
      <c r="G41" s="391"/>
      <c r="H41" s="391"/>
      <c r="I41" s="392"/>
      <c r="J41" s="444">
        <f t="shared" si="0"/>
        <v>0</v>
      </c>
    </row>
    <row r="42" spans="1:10" ht="26.4">
      <c r="A42" s="390" t="s">
        <v>911</v>
      </c>
      <c r="B42" s="391"/>
      <c r="C42" s="391"/>
      <c r="D42" s="392"/>
      <c r="E42" s="392"/>
      <c r="F42" s="391"/>
      <c r="G42" s="391"/>
      <c r="H42" s="391"/>
      <c r="I42" s="392"/>
      <c r="J42" s="444">
        <f t="shared" si="0"/>
        <v>0</v>
      </c>
    </row>
    <row r="43" spans="1:10" ht="26.4">
      <c r="A43" s="390" t="s">
        <v>1445</v>
      </c>
      <c r="B43" s="391"/>
      <c r="C43" s="391"/>
      <c r="D43" s="392"/>
      <c r="E43" s="392"/>
      <c r="F43" s="391"/>
      <c r="G43" s="391"/>
      <c r="H43" s="391"/>
      <c r="I43" s="392"/>
      <c r="J43" s="444">
        <f t="shared" si="0"/>
        <v>0</v>
      </c>
    </row>
    <row r="44" spans="1:10">
      <c r="A44" s="390" t="s">
        <v>926</v>
      </c>
      <c r="B44" s="391"/>
      <c r="C44" s="391"/>
      <c r="D44" s="392"/>
      <c r="E44" s="392"/>
      <c r="F44" s="391"/>
      <c r="G44" s="391"/>
      <c r="H44" s="391"/>
      <c r="I44" s="392"/>
      <c r="J44" s="444">
        <f t="shared" si="0"/>
        <v>0</v>
      </c>
    </row>
    <row r="45" spans="1:10">
      <c r="A45" s="445" t="s">
        <v>1413</v>
      </c>
      <c r="B45" s="393">
        <f>+SUM(B5:B44)</f>
        <v>0</v>
      </c>
      <c r="C45" s="393">
        <f t="shared" ref="C45:J45" si="1">+SUM(C5:C44)</f>
        <v>0</v>
      </c>
      <c r="D45" s="393">
        <f t="shared" si="1"/>
        <v>0</v>
      </c>
      <c r="E45" s="393">
        <f t="shared" si="1"/>
        <v>0</v>
      </c>
      <c r="F45" s="393">
        <f t="shared" si="1"/>
        <v>0</v>
      </c>
      <c r="G45" s="393">
        <f t="shared" si="1"/>
        <v>0</v>
      </c>
      <c r="H45" s="393">
        <f t="shared" si="1"/>
        <v>0</v>
      </c>
      <c r="I45" s="393">
        <f t="shared" si="1"/>
        <v>0</v>
      </c>
      <c r="J45" s="393">
        <f t="shared" si="1"/>
        <v>0</v>
      </c>
    </row>
    <row r="46" spans="1:10" ht="13.8" thickBot="1"/>
    <row r="47" spans="1:10" ht="13.8" thickBot="1">
      <c r="A47" s="394"/>
    </row>
    <row r="48" spans="1:10">
      <c r="A48" s="340"/>
      <c r="B48" s="340"/>
      <c r="C48" s="340"/>
      <c r="D48" s="340"/>
      <c r="E48" s="340"/>
      <c r="F48" s="340"/>
      <c r="G48" s="340"/>
      <c r="H48" s="340"/>
      <c r="I48" s="446"/>
    </row>
    <row r="49" spans="1:8">
      <c r="A49" s="340"/>
      <c r="B49" s="340"/>
      <c r="C49" s="340"/>
      <c r="D49" s="340"/>
      <c r="E49" s="340"/>
      <c r="F49" s="340"/>
      <c r="G49" s="340"/>
      <c r="H49" s="340"/>
    </row>
    <row r="50" spans="1:8">
      <c r="A50" s="340"/>
      <c r="B50" s="340"/>
      <c r="C50" s="340"/>
      <c r="D50" s="340"/>
      <c r="E50" s="340"/>
      <c r="F50" s="340"/>
      <c r="G50" s="340"/>
      <c r="H50" s="340"/>
    </row>
    <row r="51" spans="1:8">
      <c r="A51" s="340"/>
      <c r="B51" s="340"/>
      <c r="C51" s="340"/>
      <c r="D51" s="340"/>
      <c r="E51" s="340"/>
      <c r="F51" s="340"/>
      <c r="G51" s="340"/>
      <c r="H51" s="340"/>
    </row>
    <row r="52" spans="1:8">
      <c r="A52" s="340"/>
      <c r="B52" s="340"/>
      <c r="C52" s="340"/>
      <c r="D52" s="340"/>
      <c r="E52" s="340"/>
      <c r="F52" s="340"/>
      <c r="G52" s="340"/>
      <c r="H52" s="340"/>
    </row>
    <row r="53" spans="1:8">
      <c r="A53" s="340"/>
      <c r="B53" s="340"/>
      <c r="C53" s="340"/>
      <c r="D53" s="340"/>
      <c r="E53" s="340"/>
      <c r="F53" s="340"/>
      <c r="G53" s="340"/>
      <c r="H53" s="340"/>
    </row>
    <row r="54" spans="1:8">
      <c r="A54" s="340"/>
      <c r="B54" s="340"/>
      <c r="C54" s="340"/>
      <c r="D54" s="340"/>
      <c r="E54" s="340"/>
      <c r="F54" s="340"/>
      <c r="G54" s="340"/>
      <c r="H54" s="340"/>
    </row>
    <row r="55" spans="1:8">
      <c r="A55" s="340"/>
      <c r="B55" s="340"/>
      <c r="C55" s="340"/>
      <c r="D55" s="340"/>
      <c r="E55" s="340"/>
      <c r="F55" s="340"/>
      <c r="G55" s="340"/>
      <c r="H55" s="340"/>
    </row>
    <row r="56" spans="1:8">
      <c r="A56" s="340"/>
      <c r="B56" s="340"/>
      <c r="C56" s="340"/>
      <c r="D56" s="340"/>
      <c r="E56" s="340"/>
      <c r="F56" s="340"/>
      <c r="G56" s="340"/>
      <c r="H56" s="340"/>
    </row>
    <row r="57" spans="1:8">
      <c r="A57" s="340"/>
      <c r="B57" s="340"/>
      <c r="C57" s="340"/>
      <c r="D57" s="340"/>
      <c r="E57" s="340"/>
      <c r="F57" s="340"/>
      <c r="G57" s="340"/>
      <c r="H57" s="340"/>
    </row>
    <row r="58" spans="1:8">
      <c r="A58" s="340"/>
      <c r="B58" s="340"/>
      <c r="C58" s="340"/>
      <c r="D58" s="340"/>
      <c r="E58" s="340"/>
      <c r="F58" s="340"/>
      <c r="G58" s="340"/>
      <c r="H58" s="340"/>
    </row>
    <row r="59" spans="1:8">
      <c r="A59" s="340"/>
      <c r="B59" s="340"/>
      <c r="C59" s="340"/>
      <c r="D59" s="340"/>
      <c r="E59" s="340"/>
      <c r="F59" s="340"/>
      <c r="G59" s="340"/>
      <c r="H59" s="340"/>
    </row>
    <row r="60" spans="1:8">
      <c r="A60" s="340"/>
      <c r="B60" s="340"/>
      <c r="C60" s="340"/>
      <c r="D60" s="340"/>
      <c r="E60" s="340"/>
      <c r="F60" s="340"/>
      <c r="G60" s="340"/>
      <c r="H60" s="340"/>
    </row>
    <row r="61" spans="1:8">
      <c r="A61" s="340"/>
      <c r="B61" s="340"/>
      <c r="C61" s="340"/>
      <c r="D61" s="340"/>
      <c r="E61" s="340"/>
      <c r="F61" s="340"/>
      <c r="G61" s="340"/>
      <c r="H61" s="340"/>
    </row>
    <row r="62" spans="1:8">
      <c r="A62" s="340"/>
      <c r="B62" s="340"/>
      <c r="C62" s="340"/>
      <c r="D62" s="340"/>
      <c r="E62" s="340"/>
      <c r="F62" s="340"/>
      <c r="G62" s="340"/>
      <c r="H62" s="340"/>
    </row>
    <row r="63" spans="1:8">
      <c r="A63" s="340"/>
      <c r="B63" s="340"/>
      <c r="C63" s="340"/>
      <c r="D63" s="340"/>
      <c r="E63" s="340"/>
      <c r="F63" s="340"/>
      <c r="G63" s="340"/>
      <c r="H63" s="340"/>
    </row>
    <row r="64" spans="1:8">
      <c r="A64" s="340"/>
      <c r="B64" s="340"/>
      <c r="C64" s="340"/>
      <c r="D64" s="340"/>
      <c r="E64" s="340"/>
      <c r="F64" s="340"/>
      <c r="G64" s="340"/>
      <c r="H64" s="340"/>
    </row>
    <row r="65" spans="1:8">
      <c r="A65" s="340"/>
      <c r="B65" s="340"/>
      <c r="C65" s="340"/>
      <c r="D65" s="340"/>
      <c r="E65" s="340"/>
      <c r="F65" s="340"/>
      <c r="G65" s="340"/>
      <c r="H65" s="340"/>
    </row>
    <row r="66" spans="1:8">
      <c r="A66" s="340"/>
      <c r="B66" s="340"/>
      <c r="C66" s="340"/>
      <c r="D66" s="340"/>
      <c r="E66" s="340"/>
      <c r="F66" s="340"/>
      <c r="G66" s="340"/>
      <c r="H66" s="340"/>
    </row>
    <row r="67" spans="1:8">
      <c r="A67" s="340"/>
      <c r="B67" s="340"/>
      <c r="C67" s="340"/>
      <c r="D67" s="340"/>
      <c r="E67" s="340"/>
      <c r="F67" s="340"/>
      <c r="G67" s="340"/>
      <c r="H67" s="340"/>
    </row>
    <row r="68" spans="1:8">
      <c r="A68" s="340"/>
      <c r="B68" s="340"/>
      <c r="C68" s="340"/>
      <c r="D68" s="340"/>
      <c r="E68" s="340"/>
      <c r="F68" s="340"/>
      <c r="G68" s="340"/>
      <c r="H68" s="340"/>
    </row>
    <row r="69" spans="1:8">
      <c r="A69" s="340"/>
      <c r="B69" s="340"/>
      <c r="C69" s="340"/>
      <c r="D69" s="340"/>
      <c r="E69" s="340"/>
      <c r="F69" s="340"/>
      <c r="G69" s="340"/>
      <c r="H69" s="340"/>
    </row>
    <row r="70" spans="1:8">
      <c r="A70" s="340"/>
      <c r="B70" s="340"/>
      <c r="C70" s="340"/>
      <c r="D70" s="340"/>
      <c r="E70" s="340"/>
      <c r="F70" s="340"/>
      <c r="G70" s="340"/>
      <c r="H70" s="340"/>
    </row>
    <row r="71" spans="1:8">
      <c r="A71" s="340"/>
      <c r="B71" s="340"/>
      <c r="C71" s="340"/>
      <c r="D71" s="340"/>
      <c r="E71" s="340"/>
      <c r="F71" s="340"/>
      <c r="G71" s="340"/>
      <c r="H71" s="340"/>
    </row>
    <row r="72" spans="1:8">
      <c r="A72" s="340"/>
      <c r="B72" s="340"/>
      <c r="C72" s="340"/>
      <c r="D72" s="340"/>
      <c r="E72" s="340"/>
      <c r="F72" s="340"/>
      <c r="G72" s="340"/>
      <c r="H72" s="340"/>
    </row>
    <row r="73" spans="1:8">
      <c r="A73" s="340"/>
      <c r="B73" s="340"/>
      <c r="C73" s="340"/>
      <c r="D73" s="340"/>
      <c r="E73" s="340"/>
      <c r="F73" s="340"/>
      <c r="G73" s="340"/>
      <c r="H73" s="340"/>
    </row>
    <row r="74" spans="1:8">
      <c r="A74" s="340"/>
      <c r="B74" s="340"/>
      <c r="C74" s="340"/>
      <c r="D74" s="340"/>
      <c r="E74" s="340"/>
      <c r="F74" s="340"/>
      <c r="G74" s="340"/>
      <c r="H74" s="340"/>
    </row>
    <row r="75" spans="1:8">
      <c r="A75" s="340"/>
      <c r="B75" s="340"/>
      <c r="C75" s="340"/>
      <c r="D75" s="340"/>
      <c r="E75" s="340"/>
      <c r="F75" s="340"/>
      <c r="G75" s="340"/>
      <c r="H75" s="340"/>
    </row>
    <row r="76" spans="1:8">
      <c r="A76" s="340"/>
      <c r="B76" s="340"/>
      <c r="C76" s="340"/>
      <c r="D76" s="340"/>
      <c r="E76" s="340"/>
      <c r="F76" s="340"/>
      <c r="G76" s="340"/>
      <c r="H76" s="340"/>
    </row>
    <row r="77" spans="1:8">
      <c r="A77" s="340"/>
      <c r="B77" s="340"/>
      <c r="C77" s="340"/>
      <c r="D77" s="340"/>
      <c r="E77" s="340"/>
      <c r="F77" s="340"/>
      <c r="G77" s="340"/>
      <c r="H77" s="340"/>
    </row>
    <row r="78" spans="1:8">
      <c r="A78" s="340"/>
      <c r="B78" s="340"/>
      <c r="C78" s="340"/>
      <c r="D78" s="340"/>
      <c r="E78" s="340"/>
      <c r="F78" s="340"/>
      <c r="G78" s="340"/>
      <c r="H78" s="340"/>
    </row>
    <row r="79" spans="1:8">
      <c r="A79" s="340"/>
      <c r="B79" s="340"/>
      <c r="C79" s="340"/>
      <c r="D79" s="340"/>
      <c r="E79" s="340"/>
      <c r="F79" s="340"/>
      <c r="G79" s="340"/>
      <c r="H79" s="340"/>
    </row>
    <row r="80" spans="1:8">
      <c r="A80" s="340"/>
      <c r="B80" s="340"/>
      <c r="C80" s="340"/>
      <c r="D80" s="340"/>
      <c r="E80" s="340"/>
      <c r="F80" s="340"/>
      <c r="G80" s="340"/>
      <c r="H80" s="340"/>
    </row>
    <row r="81" spans="1:8">
      <c r="A81" s="340"/>
      <c r="B81" s="340"/>
      <c r="C81" s="340"/>
      <c r="D81" s="340"/>
      <c r="E81" s="340"/>
      <c r="F81" s="340"/>
      <c r="G81" s="340"/>
      <c r="H81" s="340"/>
    </row>
    <row r="82" spans="1:8">
      <c r="A82" s="340"/>
      <c r="B82" s="340"/>
      <c r="C82" s="340"/>
      <c r="D82" s="340"/>
      <c r="E82" s="340"/>
      <c r="F82" s="340"/>
      <c r="G82" s="340"/>
      <c r="H82" s="340"/>
    </row>
    <row r="83" spans="1:8">
      <c r="A83" s="340"/>
      <c r="B83" s="340"/>
      <c r="C83" s="340"/>
      <c r="D83" s="340"/>
      <c r="E83" s="340"/>
      <c r="F83" s="340"/>
      <c r="G83" s="340"/>
      <c r="H83" s="340"/>
    </row>
    <row r="84" spans="1:8">
      <c r="A84" s="340"/>
      <c r="B84" s="340"/>
      <c r="C84" s="340"/>
      <c r="D84" s="340"/>
      <c r="E84" s="340"/>
      <c r="F84" s="340"/>
      <c r="G84" s="340"/>
      <c r="H84" s="340"/>
    </row>
    <row r="85" spans="1:8">
      <c r="A85" s="340"/>
      <c r="B85" s="340"/>
      <c r="C85" s="340"/>
      <c r="D85" s="340"/>
      <c r="E85" s="340"/>
      <c r="F85" s="340"/>
      <c r="G85" s="340"/>
      <c r="H85" s="340"/>
    </row>
    <row r="86" spans="1:8">
      <c r="A86" s="340"/>
      <c r="B86" s="340"/>
      <c r="C86" s="340"/>
      <c r="D86" s="340"/>
      <c r="E86" s="340"/>
      <c r="F86" s="340"/>
      <c r="G86" s="340"/>
      <c r="H86" s="340"/>
    </row>
    <row r="87" spans="1:8">
      <c r="A87" s="340"/>
      <c r="B87" s="340"/>
      <c r="C87" s="340"/>
      <c r="D87" s="340"/>
      <c r="E87" s="340"/>
      <c r="F87" s="340"/>
      <c r="G87" s="340"/>
      <c r="H87" s="340"/>
    </row>
    <row r="88" spans="1:8">
      <c r="A88" s="340"/>
      <c r="B88" s="340"/>
      <c r="C88" s="340"/>
      <c r="D88" s="340"/>
      <c r="E88" s="340"/>
      <c r="F88" s="340"/>
      <c r="G88" s="340"/>
      <c r="H88" s="340"/>
    </row>
    <row r="89" spans="1:8">
      <c r="A89" s="340"/>
      <c r="B89" s="340"/>
      <c r="C89" s="340"/>
      <c r="D89" s="340"/>
      <c r="E89" s="340"/>
      <c r="F89" s="340"/>
      <c r="G89" s="340"/>
      <c r="H89" s="340"/>
    </row>
    <row r="90" spans="1:8">
      <c r="A90" s="340"/>
      <c r="B90" s="340"/>
      <c r="C90" s="340"/>
      <c r="D90" s="340"/>
      <c r="E90" s="340"/>
      <c r="F90" s="340"/>
      <c r="G90" s="340"/>
      <c r="H90" s="340"/>
    </row>
    <row r="91" spans="1:8">
      <c r="A91" s="340"/>
      <c r="B91" s="340"/>
      <c r="C91" s="340"/>
      <c r="D91" s="340"/>
      <c r="E91" s="340"/>
      <c r="F91" s="340"/>
      <c r="G91" s="340"/>
      <c r="H91" s="340"/>
    </row>
    <row r="92" spans="1:8">
      <c r="A92" s="340"/>
      <c r="B92" s="340"/>
      <c r="C92" s="340"/>
      <c r="D92" s="340"/>
      <c r="E92" s="340"/>
      <c r="F92" s="340"/>
      <c r="G92" s="340"/>
      <c r="H92" s="340"/>
    </row>
    <row r="93" spans="1:8">
      <c r="A93" s="340"/>
      <c r="B93" s="340"/>
      <c r="C93" s="340"/>
      <c r="D93" s="340"/>
      <c r="E93" s="340"/>
      <c r="F93" s="340"/>
      <c r="G93" s="340"/>
      <c r="H93" s="340"/>
    </row>
    <row r="94" spans="1:8">
      <c r="A94" s="340"/>
      <c r="B94" s="340"/>
      <c r="C94" s="340"/>
      <c r="D94" s="340"/>
      <c r="E94" s="340"/>
      <c r="F94" s="340"/>
      <c r="G94" s="340"/>
      <c r="H94" s="340"/>
    </row>
    <row r="95" spans="1:8">
      <c r="A95" s="340"/>
      <c r="B95" s="340"/>
      <c r="C95" s="340"/>
      <c r="D95" s="340"/>
      <c r="E95" s="340"/>
      <c r="F95" s="340"/>
      <c r="G95" s="340"/>
      <c r="H95" s="340"/>
    </row>
    <row r="96" spans="1:8">
      <c r="A96" s="340"/>
      <c r="B96" s="340"/>
      <c r="C96" s="340"/>
      <c r="D96" s="340"/>
      <c r="E96" s="340"/>
      <c r="F96" s="340"/>
      <c r="G96" s="340"/>
      <c r="H96" s="340"/>
    </row>
    <row r="97" spans="1:8">
      <c r="A97" s="340"/>
      <c r="B97" s="340"/>
      <c r="C97" s="340"/>
      <c r="D97" s="340"/>
      <c r="E97" s="340"/>
      <c r="F97" s="340"/>
      <c r="G97" s="340"/>
      <c r="H97" s="340"/>
    </row>
    <row r="98" spans="1:8">
      <c r="A98" s="340"/>
      <c r="B98" s="340"/>
      <c r="C98" s="340"/>
      <c r="D98" s="340"/>
      <c r="E98" s="340"/>
      <c r="F98" s="340"/>
      <c r="G98" s="340"/>
      <c r="H98" s="340"/>
    </row>
    <row r="99" spans="1:8">
      <c r="A99" s="340"/>
      <c r="B99" s="340"/>
      <c r="C99" s="340"/>
      <c r="D99" s="340"/>
      <c r="E99" s="340"/>
      <c r="F99" s="340"/>
      <c r="G99" s="340"/>
      <c r="H99" s="340"/>
    </row>
    <row r="100" spans="1:8">
      <c r="A100" s="340"/>
      <c r="B100" s="340"/>
      <c r="C100" s="340"/>
      <c r="D100" s="340"/>
      <c r="E100" s="340"/>
      <c r="F100" s="340"/>
      <c r="G100" s="340"/>
      <c r="H100" s="340"/>
    </row>
    <row r="101" spans="1:8">
      <c r="A101" s="340"/>
      <c r="B101" s="340"/>
      <c r="C101" s="340"/>
      <c r="D101" s="340"/>
      <c r="E101" s="340"/>
      <c r="F101" s="340"/>
      <c r="G101" s="340"/>
      <c r="H101" s="340"/>
    </row>
    <row r="102" spans="1:8">
      <c r="A102" s="340"/>
      <c r="B102" s="340"/>
      <c r="C102" s="340"/>
      <c r="D102" s="340"/>
      <c r="E102" s="340"/>
      <c r="F102" s="340"/>
      <c r="G102" s="340"/>
      <c r="H102" s="340"/>
    </row>
    <row r="103" spans="1:8">
      <c r="A103" s="340"/>
      <c r="B103" s="340"/>
      <c r="C103" s="340"/>
      <c r="D103" s="340"/>
      <c r="E103" s="340"/>
      <c r="F103" s="340"/>
      <c r="G103" s="340"/>
      <c r="H103" s="340"/>
    </row>
    <row r="104" spans="1:8">
      <c r="A104" s="340"/>
      <c r="B104" s="340"/>
      <c r="C104" s="340"/>
      <c r="D104" s="340"/>
      <c r="E104" s="340"/>
      <c r="F104" s="340"/>
      <c r="G104" s="340"/>
      <c r="H104" s="340"/>
    </row>
    <row r="105" spans="1:8">
      <c r="A105" s="340"/>
      <c r="B105" s="340"/>
      <c r="C105" s="340"/>
      <c r="D105" s="340"/>
      <c r="E105" s="340"/>
      <c r="F105" s="340"/>
      <c r="G105" s="340"/>
      <c r="H105" s="340"/>
    </row>
    <row r="106" spans="1:8">
      <c r="A106" s="340"/>
      <c r="B106" s="340"/>
      <c r="C106" s="340"/>
      <c r="D106" s="340"/>
      <c r="E106" s="340"/>
      <c r="F106" s="340"/>
      <c r="G106" s="340"/>
      <c r="H106" s="340"/>
    </row>
    <row r="107" spans="1:8">
      <c r="A107" s="340"/>
      <c r="B107" s="340"/>
      <c r="C107" s="340"/>
      <c r="D107" s="340"/>
      <c r="E107" s="340"/>
      <c r="F107" s="340"/>
      <c r="G107" s="340"/>
      <c r="H107" s="340"/>
    </row>
    <row r="108" spans="1:8">
      <c r="A108" s="340"/>
      <c r="B108" s="340"/>
      <c r="C108" s="340"/>
      <c r="D108" s="340"/>
      <c r="E108" s="340"/>
      <c r="F108" s="340"/>
      <c r="G108" s="340"/>
      <c r="H108" s="340"/>
    </row>
    <row r="109" spans="1:8">
      <c r="A109" s="340"/>
      <c r="B109" s="340"/>
      <c r="C109" s="340"/>
      <c r="D109" s="340"/>
      <c r="E109" s="340"/>
      <c r="F109" s="340"/>
      <c r="G109" s="340"/>
      <c r="H109" s="340"/>
    </row>
    <row r="110" spans="1:8">
      <c r="A110" s="340"/>
      <c r="B110" s="340"/>
      <c r="C110" s="340"/>
      <c r="D110" s="340"/>
      <c r="E110" s="340"/>
      <c r="F110" s="340"/>
      <c r="G110" s="340"/>
      <c r="H110" s="340"/>
    </row>
    <row r="111" spans="1:8">
      <c r="A111" s="340"/>
      <c r="B111" s="340"/>
      <c r="C111" s="340"/>
      <c r="D111" s="340"/>
      <c r="E111" s="340"/>
      <c r="F111" s="340"/>
      <c r="G111" s="340"/>
      <c r="H111" s="340"/>
    </row>
    <row r="112" spans="1:8">
      <c r="A112" s="340"/>
      <c r="B112" s="340"/>
      <c r="C112" s="340"/>
      <c r="D112" s="340"/>
      <c r="E112" s="340"/>
      <c r="F112" s="340"/>
      <c r="G112" s="340"/>
      <c r="H112" s="340"/>
    </row>
    <row r="113" spans="1:8">
      <c r="A113" s="340"/>
      <c r="B113" s="340"/>
      <c r="C113" s="340"/>
      <c r="D113" s="340"/>
      <c r="E113" s="340"/>
      <c r="F113" s="340"/>
      <c r="G113" s="340"/>
      <c r="H113" s="340"/>
    </row>
    <row r="114" spans="1:8">
      <c r="A114" s="340"/>
      <c r="B114" s="340"/>
      <c r="C114" s="340"/>
      <c r="D114" s="340"/>
      <c r="E114" s="340"/>
      <c r="F114" s="340"/>
      <c r="G114" s="340"/>
      <c r="H114" s="340"/>
    </row>
    <row r="115" spans="1:8">
      <c r="A115" s="340"/>
      <c r="B115" s="340"/>
      <c r="C115" s="340"/>
      <c r="D115" s="340"/>
      <c r="E115" s="340"/>
      <c r="F115" s="340"/>
      <c r="G115" s="340"/>
      <c r="H115" s="340"/>
    </row>
    <row r="116" spans="1:8">
      <c r="A116" s="340"/>
      <c r="B116" s="340"/>
      <c r="C116" s="340"/>
      <c r="D116" s="340"/>
      <c r="E116" s="340"/>
      <c r="F116" s="340"/>
      <c r="G116" s="340"/>
      <c r="H116" s="340"/>
    </row>
    <row r="117" spans="1:8">
      <c r="A117" s="340"/>
      <c r="B117" s="340"/>
      <c r="C117" s="340"/>
      <c r="D117" s="340"/>
      <c r="E117" s="340"/>
      <c r="F117" s="340"/>
      <c r="G117" s="340"/>
      <c r="H117" s="340"/>
    </row>
    <row r="118" spans="1:8">
      <c r="A118" s="340"/>
      <c r="B118" s="340"/>
      <c r="C118" s="340"/>
      <c r="D118" s="340"/>
      <c r="E118" s="340"/>
      <c r="F118" s="340"/>
      <c r="G118" s="340"/>
      <c r="H118" s="340"/>
    </row>
    <row r="119" spans="1:8">
      <c r="A119" s="340"/>
      <c r="B119" s="340"/>
      <c r="C119" s="340"/>
      <c r="D119" s="340"/>
      <c r="E119" s="340"/>
      <c r="F119" s="340"/>
      <c r="G119" s="340"/>
      <c r="H119" s="340"/>
    </row>
    <row r="120" spans="1:8">
      <c r="A120" s="340"/>
      <c r="B120" s="340"/>
      <c r="C120" s="340"/>
      <c r="D120" s="340"/>
      <c r="E120" s="340"/>
      <c r="F120" s="340"/>
      <c r="G120" s="340"/>
      <c r="H120" s="340"/>
    </row>
    <row r="121" spans="1:8">
      <c r="A121" s="340"/>
      <c r="B121" s="340"/>
      <c r="C121" s="340"/>
      <c r="D121" s="340"/>
      <c r="E121" s="340"/>
      <c r="F121" s="340"/>
      <c r="G121" s="340"/>
      <c r="H121" s="340"/>
    </row>
    <row r="122" spans="1:8">
      <c r="A122" s="340"/>
      <c r="B122" s="340"/>
      <c r="C122" s="340"/>
      <c r="D122" s="340"/>
      <c r="E122" s="340"/>
      <c r="F122" s="340"/>
      <c r="G122" s="340"/>
      <c r="H122" s="340"/>
    </row>
    <row r="123" spans="1:8">
      <c r="A123" s="340"/>
      <c r="B123" s="340"/>
      <c r="C123" s="340"/>
      <c r="D123" s="340"/>
      <c r="E123" s="340"/>
      <c r="F123" s="340"/>
      <c r="G123" s="340"/>
      <c r="H123" s="340"/>
    </row>
    <row r="124" spans="1:8">
      <c r="A124" s="340"/>
      <c r="B124" s="340"/>
      <c r="C124" s="340"/>
      <c r="D124" s="340"/>
      <c r="E124" s="340"/>
      <c r="F124" s="340"/>
      <c r="G124" s="340"/>
      <c r="H124" s="340"/>
    </row>
    <row r="125" spans="1:8">
      <c r="A125" s="340"/>
      <c r="B125" s="340"/>
      <c r="C125" s="340"/>
      <c r="D125" s="340"/>
      <c r="E125" s="340"/>
      <c r="F125" s="340"/>
      <c r="G125" s="340"/>
      <c r="H125" s="340"/>
    </row>
    <row r="126" spans="1:8">
      <c r="A126" s="340"/>
      <c r="B126" s="340"/>
      <c r="C126" s="340"/>
      <c r="D126" s="340"/>
      <c r="E126" s="340"/>
      <c r="F126" s="340"/>
      <c r="G126" s="340"/>
      <c r="H126" s="340"/>
    </row>
    <row r="127" spans="1:8">
      <c r="A127" s="340"/>
      <c r="B127" s="340"/>
      <c r="C127" s="340"/>
      <c r="D127" s="340"/>
      <c r="E127" s="340"/>
      <c r="F127" s="340"/>
      <c r="G127" s="340"/>
      <c r="H127" s="340"/>
    </row>
    <row r="128" spans="1:8">
      <c r="A128" s="340"/>
      <c r="B128" s="340"/>
      <c r="C128" s="340"/>
      <c r="D128" s="340"/>
      <c r="E128" s="340"/>
      <c r="F128" s="340"/>
      <c r="G128" s="340"/>
      <c r="H128" s="340"/>
    </row>
    <row r="129" spans="1:8">
      <c r="A129" s="340"/>
      <c r="B129" s="340"/>
      <c r="C129" s="340"/>
      <c r="D129" s="340"/>
      <c r="E129" s="340"/>
      <c r="F129" s="340"/>
      <c r="G129" s="340"/>
      <c r="H129" s="340"/>
    </row>
    <row r="130" spans="1:8">
      <c r="A130" s="340"/>
      <c r="B130" s="340"/>
      <c r="C130" s="340"/>
      <c r="D130" s="340"/>
      <c r="E130" s="340"/>
      <c r="F130" s="340"/>
      <c r="G130" s="340"/>
      <c r="H130" s="340"/>
    </row>
    <row r="131" spans="1:8">
      <c r="A131" s="340"/>
      <c r="B131" s="340"/>
      <c r="C131" s="340"/>
      <c r="D131" s="340"/>
      <c r="E131" s="340"/>
      <c r="F131" s="340"/>
      <c r="G131" s="340"/>
      <c r="H131" s="340"/>
    </row>
    <row r="132" spans="1:8">
      <c r="A132" s="340"/>
      <c r="B132" s="340"/>
      <c r="C132" s="340"/>
      <c r="D132" s="340"/>
      <c r="E132" s="340"/>
      <c r="F132" s="340"/>
      <c r="G132" s="340"/>
      <c r="H132" s="340"/>
    </row>
    <row r="133" spans="1:8">
      <c r="A133" s="340"/>
      <c r="B133" s="340"/>
      <c r="C133" s="340"/>
      <c r="D133" s="340"/>
      <c r="E133" s="340"/>
      <c r="F133" s="340"/>
      <c r="G133" s="340"/>
      <c r="H133" s="340"/>
    </row>
    <row r="134" spans="1:8">
      <c r="A134" s="340"/>
      <c r="B134" s="340"/>
      <c r="C134" s="340"/>
      <c r="D134" s="340"/>
      <c r="E134" s="340"/>
      <c r="F134" s="340"/>
      <c r="G134" s="340"/>
      <c r="H134" s="340"/>
    </row>
    <row r="135" spans="1:8">
      <c r="A135" s="340"/>
      <c r="B135" s="340"/>
      <c r="C135" s="340"/>
      <c r="D135" s="340"/>
      <c r="E135" s="340"/>
      <c r="F135" s="340"/>
      <c r="G135" s="340"/>
      <c r="H135" s="340"/>
    </row>
    <row r="136" spans="1:8">
      <c r="A136" s="340"/>
      <c r="B136" s="340"/>
      <c r="C136" s="340"/>
      <c r="D136" s="340"/>
      <c r="E136" s="340"/>
      <c r="F136" s="340"/>
      <c r="G136" s="340"/>
      <c r="H136" s="340"/>
    </row>
    <row r="137" spans="1:8">
      <c r="A137" s="340"/>
      <c r="B137" s="340"/>
      <c r="C137" s="340"/>
      <c r="D137" s="340"/>
      <c r="E137" s="340"/>
      <c r="F137" s="340"/>
      <c r="G137" s="340"/>
      <c r="H137" s="340"/>
    </row>
    <row r="138" spans="1:8">
      <c r="A138" s="340"/>
      <c r="B138" s="340"/>
      <c r="C138" s="340"/>
      <c r="D138" s="340"/>
      <c r="E138" s="340"/>
      <c r="F138" s="340"/>
      <c r="G138" s="340"/>
      <c r="H138" s="340"/>
    </row>
    <row r="139" spans="1:8">
      <c r="A139" s="340"/>
      <c r="B139" s="340"/>
      <c r="C139" s="340"/>
      <c r="D139" s="340"/>
      <c r="E139" s="340"/>
      <c r="F139" s="340"/>
      <c r="G139" s="340"/>
      <c r="H139" s="340"/>
    </row>
    <row r="140" spans="1:8">
      <c r="A140" s="340"/>
      <c r="B140" s="340"/>
      <c r="C140" s="340"/>
      <c r="D140" s="340"/>
      <c r="E140" s="340"/>
      <c r="F140" s="340"/>
      <c r="G140" s="340"/>
      <c r="H140" s="340"/>
    </row>
    <row r="141" spans="1:8">
      <c r="A141" s="340"/>
      <c r="B141" s="340"/>
      <c r="C141" s="340"/>
      <c r="D141" s="340"/>
      <c r="E141" s="340"/>
      <c r="F141" s="340"/>
      <c r="G141" s="340"/>
      <c r="H141" s="340"/>
    </row>
    <row r="142" spans="1:8">
      <c r="A142" s="340"/>
      <c r="B142" s="340"/>
      <c r="C142" s="340"/>
      <c r="D142" s="340"/>
      <c r="E142" s="340"/>
      <c r="F142" s="340"/>
      <c r="G142" s="340"/>
      <c r="H142" s="340"/>
    </row>
    <row r="143" spans="1:8">
      <c r="A143" s="340"/>
      <c r="B143" s="340"/>
      <c r="C143" s="340"/>
      <c r="D143" s="340"/>
      <c r="E143" s="340"/>
      <c r="F143" s="340"/>
      <c r="G143" s="340"/>
      <c r="H143" s="340"/>
    </row>
    <row r="144" spans="1:8">
      <c r="A144" s="340"/>
      <c r="B144" s="340"/>
      <c r="C144" s="340"/>
      <c r="D144" s="340"/>
      <c r="E144" s="340"/>
      <c r="F144" s="340"/>
      <c r="G144" s="340"/>
      <c r="H144" s="340"/>
    </row>
    <row r="145" spans="1:8">
      <c r="A145" s="340"/>
      <c r="B145" s="340"/>
      <c r="C145" s="340"/>
      <c r="D145" s="340"/>
      <c r="E145" s="340"/>
      <c r="F145" s="340"/>
      <c r="G145" s="340"/>
      <c r="H145" s="340"/>
    </row>
    <row r="146" spans="1:8">
      <c r="A146" s="340"/>
      <c r="B146" s="340"/>
      <c r="C146" s="340"/>
      <c r="D146" s="340"/>
      <c r="E146" s="340"/>
      <c r="F146" s="340"/>
      <c r="G146" s="340"/>
      <c r="H146" s="340"/>
    </row>
    <row r="147" spans="1:8">
      <c r="A147" s="340"/>
      <c r="B147" s="340"/>
      <c r="C147" s="340"/>
      <c r="D147" s="340"/>
      <c r="E147" s="340"/>
      <c r="F147" s="340"/>
      <c r="G147" s="340"/>
      <c r="H147" s="340"/>
    </row>
    <row r="148" spans="1:8">
      <c r="A148" s="340"/>
      <c r="B148" s="340"/>
      <c r="C148" s="340"/>
      <c r="D148" s="340"/>
      <c r="E148" s="340"/>
      <c r="F148" s="340"/>
      <c r="G148" s="340"/>
      <c r="H148" s="340"/>
    </row>
    <row r="149" spans="1:8">
      <c r="A149" s="340"/>
      <c r="B149" s="340"/>
      <c r="C149" s="340"/>
      <c r="D149" s="340"/>
      <c r="E149" s="340"/>
      <c r="F149" s="340"/>
      <c r="G149" s="340"/>
      <c r="H149" s="340"/>
    </row>
    <row r="150" spans="1:8">
      <c r="A150" s="340"/>
      <c r="B150" s="340"/>
      <c r="C150" s="340"/>
      <c r="D150" s="340"/>
      <c r="E150" s="340"/>
      <c r="F150" s="340"/>
      <c r="G150" s="340"/>
      <c r="H150" s="340"/>
    </row>
    <row r="151" spans="1:8">
      <c r="A151" s="340"/>
      <c r="B151" s="340"/>
      <c r="C151" s="340"/>
      <c r="D151" s="340"/>
      <c r="E151" s="340"/>
      <c r="F151" s="340"/>
      <c r="G151" s="340"/>
      <c r="H151" s="340"/>
    </row>
    <row r="152" spans="1:8">
      <c r="A152" s="340"/>
      <c r="B152" s="340"/>
      <c r="C152" s="340"/>
      <c r="D152" s="340"/>
      <c r="E152" s="340"/>
      <c r="F152" s="340"/>
      <c r="G152" s="340"/>
      <c r="H152" s="340"/>
    </row>
    <row r="153" spans="1:8">
      <c r="A153" s="340"/>
      <c r="B153" s="340"/>
      <c r="C153" s="340"/>
      <c r="D153" s="340"/>
      <c r="E153" s="340"/>
      <c r="F153" s="340"/>
      <c r="G153" s="340"/>
      <c r="H153" s="340"/>
    </row>
    <row r="154" spans="1:8">
      <c r="A154" s="340"/>
      <c r="B154" s="340"/>
      <c r="C154" s="340"/>
      <c r="D154" s="340"/>
      <c r="E154" s="340"/>
      <c r="F154" s="340"/>
      <c r="G154" s="340"/>
      <c r="H154" s="340"/>
    </row>
    <row r="155" spans="1:8">
      <c r="A155" s="340"/>
      <c r="B155" s="340"/>
      <c r="C155" s="340"/>
      <c r="D155" s="340"/>
      <c r="E155" s="340"/>
      <c r="F155" s="340"/>
      <c r="G155" s="340"/>
      <c r="H155" s="340"/>
    </row>
    <row r="156" spans="1:8">
      <c r="A156" s="340"/>
      <c r="B156" s="340"/>
      <c r="C156" s="340"/>
      <c r="D156" s="340"/>
      <c r="E156" s="340"/>
      <c r="F156" s="340"/>
      <c r="G156" s="340"/>
      <c r="H156" s="340"/>
    </row>
    <row r="157" spans="1:8">
      <c r="A157" s="340"/>
      <c r="B157" s="340"/>
      <c r="C157" s="340"/>
      <c r="D157" s="340"/>
      <c r="E157" s="340"/>
      <c r="F157" s="340"/>
      <c r="G157" s="340"/>
      <c r="H157" s="340"/>
    </row>
    <row r="158" spans="1:8">
      <c r="A158" s="340"/>
      <c r="B158" s="340"/>
      <c r="C158" s="340"/>
      <c r="D158" s="340"/>
      <c r="E158" s="340"/>
      <c r="F158" s="340"/>
      <c r="G158" s="340"/>
      <c r="H158" s="340"/>
    </row>
    <row r="159" spans="1:8">
      <c r="A159" s="340"/>
      <c r="B159" s="340"/>
      <c r="C159" s="340"/>
      <c r="D159" s="340"/>
      <c r="E159" s="340"/>
      <c r="F159" s="340"/>
      <c r="G159" s="340"/>
      <c r="H159" s="340"/>
    </row>
    <row r="160" spans="1:8">
      <c r="A160" s="340"/>
      <c r="B160" s="340"/>
      <c r="C160" s="340"/>
      <c r="D160" s="340"/>
      <c r="E160" s="340"/>
      <c r="F160" s="340"/>
      <c r="G160" s="340"/>
      <c r="H160" s="340"/>
    </row>
    <row r="161" spans="1:8">
      <c r="A161" s="340"/>
      <c r="B161" s="340"/>
      <c r="C161" s="340"/>
      <c r="D161" s="340"/>
      <c r="E161" s="340"/>
      <c r="F161" s="340"/>
      <c r="G161" s="340"/>
      <c r="H161" s="340"/>
    </row>
    <row r="162" spans="1:8">
      <c r="A162" s="340"/>
      <c r="B162" s="340"/>
      <c r="C162" s="340"/>
      <c r="D162" s="340"/>
      <c r="E162" s="340"/>
      <c r="F162" s="340"/>
      <c r="G162" s="340"/>
      <c r="H162" s="340"/>
    </row>
    <row r="163" spans="1:8">
      <c r="A163" s="340"/>
      <c r="B163" s="340"/>
      <c r="C163" s="340"/>
      <c r="D163" s="340"/>
      <c r="E163" s="340"/>
      <c r="F163" s="340"/>
      <c r="G163" s="340"/>
      <c r="H163" s="340"/>
    </row>
    <row r="164" spans="1:8">
      <c r="A164" s="340"/>
      <c r="B164" s="340"/>
      <c r="C164" s="340"/>
      <c r="D164" s="340"/>
      <c r="E164" s="340"/>
      <c r="F164" s="340"/>
      <c r="G164" s="340"/>
      <c r="H164" s="340"/>
    </row>
    <row r="165" spans="1:8">
      <c r="A165" s="340"/>
      <c r="B165" s="340"/>
      <c r="C165" s="340"/>
      <c r="D165" s="340"/>
      <c r="E165" s="340"/>
      <c r="F165" s="340"/>
      <c r="G165" s="340"/>
      <c r="H165" s="340"/>
    </row>
    <row r="166" spans="1:8">
      <c r="A166" s="340"/>
      <c r="B166" s="340"/>
      <c r="C166" s="340"/>
      <c r="D166" s="340"/>
      <c r="E166" s="340"/>
      <c r="F166" s="340"/>
      <c r="G166" s="340"/>
      <c r="H166" s="340"/>
    </row>
    <row r="167" spans="1:8">
      <c r="A167" s="340"/>
      <c r="B167" s="340"/>
      <c r="C167" s="340"/>
      <c r="D167" s="340"/>
      <c r="E167" s="340"/>
      <c r="F167" s="340"/>
      <c r="G167" s="340"/>
      <c r="H167" s="340"/>
    </row>
    <row r="168" spans="1:8">
      <c r="A168" s="340"/>
      <c r="B168" s="340"/>
      <c r="C168" s="340"/>
      <c r="D168" s="340"/>
      <c r="E168" s="340"/>
      <c r="F168" s="340"/>
      <c r="G168" s="340"/>
      <c r="H168" s="340"/>
    </row>
    <row r="169" spans="1:8">
      <c r="A169" s="340"/>
      <c r="B169" s="340"/>
      <c r="C169" s="340"/>
      <c r="D169" s="340"/>
      <c r="E169" s="340"/>
      <c r="F169" s="340"/>
      <c r="G169" s="340"/>
      <c r="H169" s="340"/>
    </row>
    <row r="170" spans="1:8">
      <c r="A170" s="340"/>
      <c r="B170" s="340"/>
      <c r="C170" s="340"/>
      <c r="D170" s="340"/>
      <c r="E170" s="340"/>
      <c r="F170" s="340"/>
      <c r="G170" s="340"/>
      <c r="H170" s="340"/>
    </row>
    <row r="171" spans="1:8">
      <c r="A171" s="340"/>
      <c r="B171" s="340"/>
      <c r="C171" s="340"/>
      <c r="D171" s="340"/>
      <c r="E171" s="340"/>
      <c r="F171" s="340"/>
      <c r="G171" s="340"/>
      <c r="H171" s="340"/>
    </row>
    <row r="172" spans="1:8">
      <c r="A172" s="340"/>
      <c r="B172" s="340"/>
      <c r="C172" s="340"/>
      <c r="D172" s="340"/>
      <c r="E172" s="340"/>
      <c r="F172" s="340"/>
      <c r="G172" s="340"/>
      <c r="H172" s="340"/>
    </row>
    <row r="173" spans="1:8">
      <c r="A173" s="340"/>
      <c r="B173" s="340"/>
      <c r="C173" s="340"/>
      <c r="D173" s="340"/>
      <c r="E173" s="340"/>
      <c r="F173" s="340"/>
      <c r="G173" s="340"/>
      <c r="H173" s="340"/>
    </row>
    <row r="174" spans="1:8">
      <c r="A174" s="340"/>
      <c r="B174" s="340"/>
      <c r="C174" s="340"/>
      <c r="D174" s="340"/>
      <c r="E174" s="340"/>
      <c r="F174" s="340"/>
      <c r="G174" s="340"/>
      <c r="H174" s="340"/>
    </row>
    <row r="175" spans="1:8">
      <c r="A175" s="340"/>
      <c r="B175" s="340"/>
      <c r="C175" s="340"/>
      <c r="D175" s="340"/>
      <c r="E175" s="340"/>
      <c r="F175" s="340"/>
      <c r="G175" s="340"/>
      <c r="H175" s="340"/>
    </row>
    <row r="176" spans="1:8">
      <c r="A176" s="340"/>
      <c r="B176" s="340"/>
      <c r="C176" s="340"/>
      <c r="D176" s="340"/>
      <c r="E176" s="340"/>
      <c r="F176" s="340"/>
      <c r="G176" s="340"/>
      <c r="H176" s="340"/>
    </row>
    <row r="177" spans="1:8">
      <c r="A177" s="340"/>
      <c r="B177" s="340"/>
      <c r="C177" s="340"/>
      <c r="D177" s="340"/>
      <c r="E177" s="340"/>
      <c r="F177" s="340"/>
      <c r="G177" s="340"/>
      <c r="H177" s="340"/>
    </row>
    <row r="178" spans="1:8">
      <c r="A178" s="340"/>
      <c r="B178" s="340"/>
      <c r="C178" s="340"/>
      <c r="D178" s="340"/>
      <c r="E178" s="340"/>
      <c r="F178" s="340"/>
      <c r="G178" s="340"/>
      <c r="H178" s="340"/>
    </row>
    <row r="179" spans="1:8">
      <c r="A179" s="340"/>
      <c r="B179" s="340"/>
      <c r="C179" s="340"/>
      <c r="D179" s="340"/>
      <c r="E179" s="340"/>
      <c r="F179" s="340"/>
      <c r="G179" s="340"/>
      <c r="H179" s="340"/>
    </row>
    <row r="180" spans="1:8">
      <c r="A180" s="340"/>
      <c r="B180" s="340"/>
      <c r="C180" s="340"/>
      <c r="D180" s="340"/>
      <c r="E180" s="340"/>
      <c r="F180" s="340"/>
      <c r="G180" s="340"/>
      <c r="H180" s="340"/>
    </row>
    <row r="181" spans="1:8">
      <c r="A181" s="340"/>
      <c r="B181" s="340"/>
      <c r="C181" s="340"/>
      <c r="D181" s="340"/>
      <c r="E181" s="340"/>
      <c r="F181" s="340"/>
      <c r="G181" s="340"/>
      <c r="H181" s="340"/>
    </row>
  </sheetData>
  <sheetProtection password="C3C4" sheet="1" objects="1" scenarios="1"/>
  <dataValidations count="1">
    <dataValidation type="whole" allowBlank="1" showInputMessage="1" showErrorMessage="1" errorTitle="Data Validation" error="Please enter a whole number between 0 and 2147483647." sqref="F5:H5 F20:H44 B5:C44" xr:uid="{0950A87F-D4C0-4487-B6D9-3391B3A2ADD2}">
      <formula1>0</formula1>
      <formula2>2147483647</formula2>
    </dataValidation>
  </dataValidations>
  <pageMargins left="0.7" right="0.7" top="0.75" bottom="0.75" header="0.3" footer="0.3"/>
  <ignoredErrors>
    <ignoredError sqref="B9:I16 B8 D8:F8 H8:I8" unlockedFormula="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B611D-83A6-4FFA-9290-88545F1C73A7}">
  <sheetPr>
    <tabColor theme="8" tint="0.39997558519241921"/>
  </sheetPr>
  <dimension ref="A1:I101"/>
  <sheetViews>
    <sheetView workbookViewId="0">
      <selection activeCell="A18" sqref="A18"/>
    </sheetView>
  </sheetViews>
  <sheetFormatPr defaultColWidth="8.88671875" defaultRowHeight="13.2"/>
  <cols>
    <col min="1" max="1" width="21.88671875" style="15" bestFit="1" customWidth="1"/>
    <col min="2" max="9" width="15.6640625" style="15" customWidth="1"/>
    <col min="10" max="16384" width="8.88671875" style="15"/>
  </cols>
  <sheetData>
    <row r="1" spans="1:9">
      <c r="A1" s="384"/>
      <c r="B1" s="385"/>
      <c r="E1" s="385"/>
      <c r="F1" s="385"/>
      <c r="G1" s="385"/>
    </row>
    <row r="2" spans="1:9">
      <c r="A2" s="398" t="s">
        <v>1453</v>
      </c>
      <c r="B2" s="386"/>
      <c r="E2" s="386"/>
      <c r="F2" s="386"/>
      <c r="G2" s="386"/>
    </row>
    <row r="3" spans="1:9">
      <c r="A3" s="387"/>
      <c r="B3" s="388"/>
      <c r="E3" s="388"/>
      <c r="F3" s="388"/>
      <c r="G3" s="388"/>
    </row>
    <row r="4" spans="1:9" ht="39.6">
      <c r="A4" s="395" t="s">
        <v>1421</v>
      </c>
      <c r="B4" s="395" t="s">
        <v>189</v>
      </c>
      <c r="C4" s="395" t="s">
        <v>1422</v>
      </c>
      <c r="D4" s="395" t="s">
        <v>1423</v>
      </c>
      <c r="E4" s="395" t="s">
        <v>1424</v>
      </c>
      <c r="F4" s="395" t="s">
        <v>1425</v>
      </c>
      <c r="G4" s="395" t="s">
        <v>1426</v>
      </c>
      <c r="H4" s="395" t="s">
        <v>1427</v>
      </c>
      <c r="I4" s="395" t="s">
        <v>210</v>
      </c>
    </row>
    <row r="5" spans="1:9">
      <c r="A5" s="390" t="s">
        <v>369</v>
      </c>
      <c r="B5" s="391"/>
      <c r="C5" s="392"/>
      <c r="D5" s="392"/>
      <c r="E5" s="391"/>
      <c r="F5" s="391"/>
      <c r="G5" s="391"/>
      <c r="H5" s="392"/>
      <c r="I5" s="444">
        <f t="shared" ref="I5:I44" si="0">+SUM(B5:H5)</f>
        <v>0</v>
      </c>
    </row>
    <row r="6" spans="1:9">
      <c r="A6" s="390" t="s">
        <v>377</v>
      </c>
      <c r="B6" s="391"/>
      <c r="C6" s="392"/>
      <c r="D6" s="392"/>
      <c r="E6" s="392"/>
      <c r="F6" s="392"/>
      <c r="G6" s="392"/>
      <c r="H6" s="392"/>
      <c r="I6" s="444">
        <f t="shared" si="0"/>
        <v>0</v>
      </c>
    </row>
    <row r="7" spans="1:9">
      <c r="A7" s="390" t="s">
        <v>385</v>
      </c>
      <c r="B7" s="391"/>
      <c r="C7" s="392"/>
      <c r="D7" s="392"/>
      <c r="E7" s="392"/>
      <c r="F7" s="392"/>
      <c r="G7" s="392"/>
      <c r="H7" s="392"/>
      <c r="I7" s="444">
        <f t="shared" si="0"/>
        <v>0</v>
      </c>
    </row>
    <row r="8" spans="1:9" ht="26.4">
      <c r="A8" s="390" t="s">
        <v>1428</v>
      </c>
      <c r="B8" s="391"/>
      <c r="C8" s="392"/>
      <c r="D8" s="392"/>
      <c r="E8" s="392"/>
      <c r="F8" s="392"/>
      <c r="G8" s="392"/>
      <c r="H8" s="392"/>
      <c r="I8" s="444">
        <f t="shared" si="0"/>
        <v>0</v>
      </c>
    </row>
    <row r="9" spans="1:9" ht="26.4">
      <c r="A9" s="390" t="s">
        <v>416</v>
      </c>
      <c r="B9" s="391"/>
      <c r="C9" s="392"/>
      <c r="D9" s="392"/>
      <c r="E9" s="392"/>
      <c r="F9" s="392"/>
      <c r="G9" s="392"/>
      <c r="H9" s="392"/>
      <c r="I9" s="444">
        <f t="shared" si="0"/>
        <v>0</v>
      </c>
    </row>
    <row r="10" spans="1:9">
      <c r="A10" s="390" t="s">
        <v>420</v>
      </c>
      <c r="B10" s="391"/>
      <c r="C10" s="392"/>
      <c r="D10" s="392"/>
      <c r="E10" s="392"/>
      <c r="F10" s="392"/>
      <c r="G10" s="392"/>
      <c r="H10" s="392"/>
      <c r="I10" s="444">
        <f t="shared" si="0"/>
        <v>0</v>
      </c>
    </row>
    <row r="11" spans="1:9">
      <c r="A11" s="390" t="s">
        <v>422</v>
      </c>
      <c r="B11" s="391"/>
      <c r="C11" s="392"/>
      <c r="D11" s="392"/>
      <c r="E11" s="392"/>
      <c r="F11" s="392"/>
      <c r="G11" s="392"/>
      <c r="H11" s="392"/>
      <c r="I11" s="444">
        <f t="shared" si="0"/>
        <v>0</v>
      </c>
    </row>
    <row r="12" spans="1:9">
      <c r="A12" s="390" t="s">
        <v>1429</v>
      </c>
      <c r="B12" s="391"/>
      <c r="C12" s="392"/>
      <c r="D12" s="392"/>
      <c r="E12" s="392"/>
      <c r="F12" s="392"/>
      <c r="G12" s="392"/>
      <c r="H12" s="392"/>
      <c r="I12" s="444">
        <f t="shared" si="0"/>
        <v>0</v>
      </c>
    </row>
    <row r="13" spans="1:9" ht="25.2" customHeight="1">
      <c r="A13" s="390" t="s">
        <v>1430</v>
      </c>
      <c r="B13" s="391"/>
      <c r="C13" s="392"/>
      <c r="D13" s="392"/>
      <c r="E13" s="392"/>
      <c r="F13" s="392"/>
      <c r="G13" s="392"/>
      <c r="H13" s="392"/>
      <c r="I13" s="444">
        <f t="shared" si="0"/>
        <v>0</v>
      </c>
    </row>
    <row r="14" spans="1:9">
      <c r="A14" s="390" t="s">
        <v>490</v>
      </c>
      <c r="B14" s="391"/>
      <c r="C14" s="392"/>
      <c r="D14" s="392"/>
      <c r="E14" s="392"/>
      <c r="F14" s="392"/>
      <c r="G14" s="392"/>
      <c r="H14" s="392"/>
      <c r="I14" s="444">
        <f t="shared" si="0"/>
        <v>0</v>
      </c>
    </row>
    <row r="15" spans="1:9">
      <c r="A15" s="390" t="s">
        <v>1431</v>
      </c>
      <c r="B15" s="391"/>
      <c r="C15" s="392"/>
      <c r="D15" s="392"/>
      <c r="E15" s="392"/>
      <c r="F15" s="392"/>
      <c r="G15" s="392"/>
      <c r="H15" s="392"/>
      <c r="I15" s="444">
        <f t="shared" si="0"/>
        <v>0</v>
      </c>
    </row>
    <row r="16" spans="1:9">
      <c r="A16" s="390" t="s">
        <v>1432</v>
      </c>
      <c r="B16" s="391"/>
      <c r="C16" s="392"/>
      <c r="D16" s="392"/>
      <c r="E16" s="392"/>
      <c r="F16" s="392"/>
      <c r="G16" s="392"/>
      <c r="H16" s="392"/>
      <c r="I16" s="444">
        <f t="shared" si="0"/>
        <v>0</v>
      </c>
    </row>
    <row r="17" spans="1:9" ht="26.4">
      <c r="A17" s="390" t="s">
        <v>518</v>
      </c>
      <c r="B17" s="391"/>
      <c r="C17" s="392"/>
      <c r="D17" s="392"/>
      <c r="E17" s="392"/>
      <c r="F17" s="392"/>
      <c r="G17" s="392"/>
      <c r="H17" s="392"/>
      <c r="I17" s="444">
        <f t="shared" si="0"/>
        <v>0</v>
      </c>
    </row>
    <row r="18" spans="1:9" ht="26.4">
      <c r="A18" s="389" t="s">
        <v>1433</v>
      </c>
      <c r="B18" s="494">
        <f>'III-D - #12419'!C26</f>
        <v>0</v>
      </c>
      <c r="C18" s="494">
        <f>'III-D - #12419'!D26</f>
        <v>0</v>
      </c>
      <c r="D18" s="494">
        <f>'III-D - #12419'!E26</f>
        <v>0</v>
      </c>
      <c r="E18" s="494">
        <f>'III-D - #12419'!F26</f>
        <v>0</v>
      </c>
      <c r="F18" s="494">
        <f>'III-D - #12419'!G26</f>
        <v>0</v>
      </c>
      <c r="G18" s="494">
        <f>'III-D - #12419'!H26</f>
        <v>0</v>
      </c>
      <c r="H18" s="495">
        <f>'III-D - #12419'!J26+'III-D - #12419'!L26</f>
        <v>0</v>
      </c>
      <c r="I18" s="396">
        <f t="shared" si="0"/>
        <v>0</v>
      </c>
    </row>
    <row r="19" spans="1:9" ht="26.4">
      <c r="A19" s="390" t="s">
        <v>1434</v>
      </c>
      <c r="B19" s="391"/>
      <c r="C19" s="392"/>
      <c r="D19" s="392"/>
      <c r="E19" s="392"/>
      <c r="F19" s="392"/>
      <c r="G19" s="392"/>
      <c r="H19" s="392"/>
      <c r="I19" s="444">
        <f t="shared" si="0"/>
        <v>0</v>
      </c>
    </row>
    <row r="20" spans="1:9">
      <c r="A20" s="390" t="s">
        <v>1435</v>
      </c>
      <c r="B20" s="391"/>
      <c r="C20" s="392"/>
      <c r="D20" s="392"/>
      <c r="E20" s="391"/>
      <c r="F20" s="391"/>
      <c r="G20" s="391"/>
      <c r="H20" s="392"/>
      <c r="I20" s="444">
        <f t="shared" si="0"/>
        <v>0</v>
      </c>
    </row>
    <row r="21" spans="1:9">
      <c r="A21" s="390" t="s">
        <v>1436</v>
      </c>
      <c r="B21" s="391"/>
      <c r="C21" s="392"/>
      <c r="D21" s="392"/>
      <c r="E21" s="391"/>
      <c r="F21" s="391"/>
      <c r="G21" s="391"/>
      <c r="H21" s="392"/>
      <c r="I21" s="444">
        <f t="shared" si="0"/>
        <v>0</v>
      </c>
    </row>
    <row r="22" spans="1:9">
      <c r="A22" s="390" t="s">
        <v>583</v>
      </c>
      <c r="B22" s="391"/>
      <c r="C22" s="392"/>
      <c r="D22" s="392"/>
      <c r="E22" s="391"/>
      <c r="F22" s="391"/>
      <c r="G22" s="391"/>
      <c r="H22" s="392"/>
      <c r="I22" s="444">
        <f t="shared" si="0"/>
        <v>0</v>
      </c>
    </row>
    <row r="23" spans="1:9">
      <c r="A23" s="390" t="s">
        <v>587</v>
      </c>
      <c r="B23" s="391"/>
      <c r="C23" s="392"/>
      <c r="D23" s="392"/>
      <c r="E23" s="391"/>
      <c r="F23" s="391"/>
      <c r="G23" s="391"/>
      <c r="H23" s="392"/>
      <c r="I23" s="444">
        <f t="shared" si="0"/>
        <v>0</v>
      </c>
    </row>
    <row r="24" spans="1:9">
      <c r="A24" s="390" t="s">
        <v>808</v>
      </c>
      <c r="B24" s="391"/>
      <c r="C24" s="392"/>
      <c r="D24" s="392"/>
      <c r="E24" s="391"/>
      <c r="F24" s="391"/>
      <c r="G24" s="391"/>
      <c r="H24" s="392"/>
      <c r="I24" s="444">
        <f t="shared" si="0"/>
        <v>0</v>
      </c>
    </row>
    <row r="25" spans="1:9" ht="26.4">
      <c r="A25" s="390" t="s">
        <v>593</v>
      </c>
      <c r="B25" s="391"/>
      <c r="C25" s="392"/>
      <c r="D25" s="392"/>
      <c r="E25" s="391"/>
      <c r="F25" s="391"/>
      <c r="G25" s="391"/>
      <c r="H25" s="392"/>
      <c r="I25" s="444">
        <f t="shared" si="0"/>
        <v>0</v>
      </c>
    </row>
    <row r="26" spans="1:9" ht="26.4">
      <c r="A26" s="390" t="s">
        <v>1437</v>
      </c>
      <c r="B26" s="391"/>
      <c r="C26" s="392"/>
      <c r="D26" s="392"/>
      <c r="E26" s="391"/>
      <c r="F26" s="391"/>
      <c r="G26" s="391"/>
      <c r="H26" s="392"/>
      <c r="I26" s="444">
        <f t="shared" si="0"/>
        <v>0</v>
      </c>
    </row>
    <row r="27" spans="1:9" ht="26.4">
      <c r="A27" s="390" t="s">
        <v>601</v>
      </c>
      <c r="B27" s="391"/>
      <c r="C27" s="392"/>
      <c r="D27" s="392"/>
      <c r="E27" s="391"/>
      <c r="F27" s="391"/>
      <c r="G27" s="391"/>
      <c r="H27" s="392"/>
      <c r="I27" s="444">
        <f t="shared" si="0"/>
        <v>0</v>
      </c>
    </row>
    <row r="28" spans="1:9">
      <c r="A28" s="390" t="s">
        <v>1438</v>
      </c>
      <c r="B28" s="390"/>
      <c r="C28" s="392"/>
      <c r="D28" s="392"/>
      <c r="E28" s="391"/>
      <c r="F28" s="391"/>
      <c r="G28" s="391"/>
      <c r="H28" s="392"/>
      <c r="I28" s="444">
        <f t="shared" si="0"/>
        <v>0</v>
      </c>
    </row>
    <row r="29" spans="1:9" ht="26.4">
      <c r="A29" s="390" t="s">
        <v>759</v>
      </c>
      <c r="B29" s="391"/>
      <c r="C29" s="392"/>
      <c r="D29" s="392"/>
      <c r="E29" s="391"/>
      <c r="F29" s="391"/>
      <c r="G29" s="391"/>
      <c r="H29" s="392"/>
      <c r="I29" s="444">
        <f t="shared" si="0"/>
        <v>0</v>
      </c>
    </row>
    <row r="30" spans="1:9">
      <c r="A30" s="390" t="s">
        <v>776</v>
      </c>
      <c r="B30" s="391"/>
      <c r="C30" s="392"/>
      <c r="D30" s="392"/>
      <c r="E30" s="391"/>
      <c r="F30" s="391"/>
      <c r="G30" s="391"/>
      <c r="H30" s="392"/>
      <c r="I30" s="444">
        <f t="shared" si="0"/>
        <v>0</v>
      </c>
    </row>
    <row r="31" spans="1:9" ht="26.4">
      <c r="A31" s="390" t="s">
        <v>780</v>
      </c>
      <c r="B31" s="391"/>
      <c r="C31" s="392"/>
      <c r="D31" s="392"/>
      <c r="E31" s="391"/>
      <c r="F31" s="391"/>
      <c r="G31" s="391"/>
      <c r="H31" s="392"/>
      <c r="I31" s="444">
        <f t="shared" si="0"/>
        <v>0</v>
      </c>
    </row>
    <row r="32" spans="1:9" ht="26.4">
      <c r="A32" s="390" t="s">
        <v>782</v>
      </c>
      <c r="B32" s="391"/>
      <c r="C32" s="392"/>
      <c r="D32" s="392"/>
      <c r="E32" s="391"/>
      <c r="F32" s="391"/>
      <c r="G32" s="391"/>
      <c r="H32" s="392"/>
      <c r="I32" s="444">
        <f t="shared" si="0"/>
        <v>0</v>
      </c>
    </row>
    <row r="33" spans="1:9" ht="26.4">
      <c r="A33" s="390" t="s">
        <v>1440</v>
      </c>
      <c r="B33" s="391"/>
      <c r="C33" s="392"/>
      <c r="D33" s="392"/>
      <c r="E33" s="391"/>
      <c r="F33" s="391"/>
      <c r="G33" s="391"/>
      <c r="H33" s="392"/>
      <c r="I33" s="444">
        <f t="shared" si="0"/>
        <v>0</v>
      </c>
    </row>
    <row r="34" spans="1:9">
      <c r="A34" s="390" t="s">
        <v>1441</v>
      </c>
      <c r="B34" s="391"/>
      <c r="C34" s="392"/>
      <c r="D34" s="392"/>
      <c r="E34" s="391"/>
      <c r="F34" s="391"/>
      <c r="G34" s="391"/>
      <c r="H34" s="392"/>
      <c r="I34" s="444">
        <f t="shared" si="0"/>
        <v>0</v>
      </c>
    </row>
    <row r="35" spans="1:9" ht="26.4">
      <c r="A35" s="390" t="s">
        <v>853</v>
      </c>
      <c r="B35" s="391"/>
      <c r="C35" s="392"/>
      <c r="D35" s="392"/>
      <c r="E35" s="391"/>
      <c r="F35" s="391"/>
      <c r="G35" s="391"/>
      <c r="H35" s="392"/>
      <c r="I35" s="444">
        <f t="shared" si="0"/>
        <v>0</v>
      </c>
    </row>
    <row r="36" spans="1:9" ht="26.4">
      <c r="A36" s="390" t="s">
        <v>858</v>
      </c>
      <c r="B36" s="391"/>
      <c r="C36" s="392"/>
      <c r="D36" s="392"/>
      <c r="E36" s="391"/>
      <c r="F36" s="391"/>
      <c r="G36" s="391"/>
      <c r="H36" s="392"/>
      <c r="I36" s="444">
        <f t="shared" si="0"/>
        <v>0</v>
      </c>
    </row>
    <row r="37" spans="1:9">
      <c r="A37" s="390" t="s">
        <v>868</v>
      </c>
      <c r="B37" s="391"/>
      <c r="C37" s="392"/>
      <c r="D37" s="392"/>
      <c r="E37" s="391"/>
      <c r="F37" s="391"/>
      <c r="G37" s="391"/>
      <c r="H37" s="392"/>
      <c r="I37" s="444">
        <f t="shared" si="0"/>
        <v>0</v>
      </c>
    </row>
    <row r="38" spans="1:9" ht="26.4">
      <c r="A38" s="390" t="s">
        <v>880</v>
      </c>
      <c r="B38" s="391"/>
      <c r="C38" s="392"/>
      <c r="D38" s="392"/>
      <c r="E38" s="391"/>
      <c r="F38" s="391"/>
      <c r="G38" s="391"/>
      <c r="H38" s="392"/>
      <c r="I38" s="444">
        <f t="shared" si="0"/>
        <v>0</v>
      </c>
    </row>
    <row r="39" spans="1:9" ht="26.4">
      <c r="A39" s="390" t="s">
        <v>1442</v>
      </c>
      <c r="B39" s="391"/>
      <c r="C39" s="392"/>
      <c r="D39" s="392"/>
      <c r="E39" s="391"/>
      <c r="F39" s="391"/>
      <c r="G39" s="391"/>
      <c r="H39" s="392"/>
      <c r="I39" s="444">
        <f t="shared" si="0"/>
        <v>0</v>
      </c>
    </row>
    <row r="40" spans="1:9" ht="26.4">
      <c r="A40" s="390" t="s">
        <v>1443</v>
      </c>
      <c r="B40" s="391"/>
      <c r="C40" s="392"/>
      <c r="D40" s="392"/>
      <c r="E40" s="391"/>
      <c r="F40" s="391"/>
      <c r="G40" s="391"/>
      <c r="H40" s="392"/>
      <c r="I40" s="444">
        <f t="shared" si="0"/>
        <v>0</v>
      </c>
    </row>
    <row r="41" spans="1:9" ht="26.4">
      <c r="A41" s="390" t="s">
        <v>1444</v>
      </c>
      <c r="B41" s="391"/>
      <c r="C41" s="392"/>
      <c r="D41" s="392"/>
      <c r="E41" s="391"/>
      <c r="F41" s="391"/>
      <c r="G41" s="391"/>
      <c r="H41" s="392"/>
      <c r="I41" s="444">
        <f t="shared" si="0"/>
        <v>0</v>
      </c>
    </row>
    <row r="42" spans="1:9" ht="26.4">
      <c r="A42" s="390" t="s">
        <v>911</v>
      </c>
      <c r="B42" s="391"/>
      <c r="C42" s="392"/>
      <c r="D42" s="392"/>
      <c r="E42" s="391"/>
      <c r="F42" s="391"/>
      <c r="G42" s="391"/>
      <c r="H42" s="392"/>
      <c r="I42" s="444">
        <f t="shared" si="0"/>
        <v>0</v>
      </c>
    </row>
    <row r="43" spans="1:9" ht="26.4">
      <c r="A43" s="390" t="s">
        <v>1445</v>
      </c>
      <c r="B43" s="391"/>
      <c r="C43" s="392"/>
      <c r="D43" s="392"/>
      <c r="E43" s="391"/>
      <c r="F43" s="391"/>
      <c r="G43" s="391"/>
      <c r="H43" s="392"/>
      <c r="I43" s="444">
        <f t="shared" si="0"/>
        <v>0</v>
      </c>
    </row>
    <row r="44" spans="1:9">
      <c r="A44" s="390" t="s">
        <v>926</v>
      </c>
      <c r="B44" s="391"/>
      <c r="C44" s="392"/>
      <c r="D44" s="392"/>
      <c r="E44" s="391"/>
      <c r="F44" s="391"/>
      <c r="G44" s="391"/>
      <c r="H44" s="392"/>
      <c r="I44" s="444">
        <f t="shared" si="0"/>
        <v>0</v>
      </c>
    </row>
    <row r="45" spans="1:9">
      <c r="A45" s="445" t="s">
        <v>1413</v>
      </c>
      <c r="B45" s="393">
        <f>+SUM(B5:B44)</f>
        <v>0</v>
      </c>
      <c r="C45" s="393">
        <f t="shared" ref="C45:I45" si="1">+SUM(C5:C44)</f>
        <v>0</v>
      </c>
      <c r="D45" s="393">
        <f t="shared" si="1"/>
        <v>0</v>
      </c>
      <c r="E45" s="393">
        <f t="shared" si="1"/>
        <v>0</v>
      </c>
      <c r="F45" s="393">
        <f t="shared" si="1"/>
        <v>0</v>
      </c>
      <c r="G45" s="393">
        <f t="shared" si="1"/>
        <v>0</v>
      </c>
      <c r="H45" s="393">
        <f t="shared" si="1"/>
        <v>0</v>
      </c>
      <c r="I45" s="393">
        <f t="shared" si="1"/>
        <v>0</v>
      </c>
    </row>
    <row r="46" spans="1:9" ht="13.8" thickBot="1"/>
    <row r="47" spans="1:9" ht="13.8" thickBot="1">
      <c r="A47" s="394"/>
    </row>
    <row r="48" spans="1:9">
      <c r="A48" s="340"/>
      <c r="B48" s="340"/>
      <c r="C48" s="340"/>
      <c r="D48" s="340"/>
      <c r="E48" s="340"/>
      <c r="F48" s="340"/>
      <c r="G48" s="340"/>
      <c r="H48" s="446"/>
    </row>
    <row r="49" spans="1:7">
      <c r="A49" s="340"/>
      <c r="B49" s="340"/>
      <c r="C49" s="340"/>
      <c r="D49" s="340"/>
      <c r="E49" s="340"/>
      <c r="F49" s="340"/>
      <c r="G49" s="340"/>
    </row>
    <row r="50" spans="1:7">
      <c r="A50" s="340"/>
      <c r="B50" s="340"/>
      <c r="C50" s="340"/>
      <c r="D50" s="340"/>
      <c r="E50" s="340"/>
      <c r="F50" s="340"/>
      <c r="G50" s="340"/>
    </row>
    <row r="51" spans="1:7">
      <c r="A51" s="340"/>
      <c r="B51" s="340"/>
      <c r="C51" s="340"/>
      <c r="D51" s="340"/>
      <c r="E51" s="340"/>
      <c r="F51" s="340"/>
      <c r="G51" s="340"/>
    </row>
    <row r="52" spans="1:7">
      <c r="A52" s="340"/>
      <c r="B52" s="340"/>
      <c r="C52" s="340"/>
      <c r="D52" s="340"/>
      <c r="E52" s="340"/>
      <c r="F52" s="340"/>
      <c r="G52" s="340"/>
    </row>
    <row r="53" spans="1:7">
      <c r="A53" s="340"/>
      <c r="B53" s="340"/>
      <c r="C53" s="340"/>
      <c r="D53" s="340"/>
      <c r="E53" s="340"/>
      <c r="F53" s="340"/>
      <c r="G53" s="340"/>
    </row>
    <row r="54" spans="1:7">
      <c r="A54" s="340"/>
      <c r="B54" s="340"/>
      <c r="C54" s="340"/>
      <c r="D54" s="340"/>
      <c r="E54" s="340"/>
      <c r="F54" s="340"/>
      <c r="G54" s="340"/>
    </row>
    <row r="55" spans="1:7">
      <c r="A55" s="340"/>
      <c r="B55" s="340"/>
      <c r="C55" s="340"/>
      <c r="D55" s="340"/>
      <c r="E55" s="340"/>
      <c r="F55" s="340"/>
      <c r="G55" s="340"/>
    </row>
    <row r="56" spans="1:7">
      <c r="A56" s="340"/>
      <c r="B56" s="340"/>
      <c r="C56" s="340"/>
      <c r="D56" s="340"/>
      <c r="E56" s="340"/>
      <c r="F56" s="340"/>
      <c r="G56" s="340"/>
    </row>
    <row r="57" spans="1:7">
      <c r="A57" s="340"/>
      <c r="B57" s="340"/>
      <c r="C57" s="340"/>
      <c r="D57" s="340"/>
      <c r="E57" s="340"/>
      <c r="F57" s="340"/>
      <c r="G57" s="340"/>
    </row>
    <row r="58" spans="1:7">
      <c r="A58" s="340"/>
      <c r="B58" s="340"/>
      <c r="C58" s="340"/>
      <c r="D58" s="340"/>
      <c r="E58" s="340"/>
      <c r="F58" s="340"/>
      <c r="G58" s="340"/>
    </row>
    <row r="59" spans="1:7">
      <c r="A59" s="340"/>
      <c r="B59" s="340"/>
      <c r="C59" s="340"/>
      <c r="D59" s="340"/>
      <c r="E59" s="340"/>
      <c r="F59" s="340"/>
      <c r="G59" s="340"/>
    </row>
    <row r="60" spans="1:7">
      <c r="A60" s="340"/>
      <c r="B60" s="340"/>
      <c r="C60" s="340"/>
      <c r="D60" s="340"/>
      <c r="E60" s="340"/>
      <c r="F60" s="340"/>
      <c r="G60" s="340"/>
    </row>
    <row r="61" spans="1:7">
      <c r="A61" s="340"/>
      <c r="B61" s="340"/>
      <c r="C61" s="340"/>
      <c r="D61" s="340"/>
      <c r="E61" s="340"/>
      <c r="F61" s="340"/>
      <c r="G61" s="340"/>
    </row>
    <row r="62" spans="1:7">
      <c r="A62" s="340"/>
      <c r="B62" s="340"/>
      <c r="C62" s="340"/>
      <c r="D62" s="340"/>
      <c r="E62" s="340"/>
      <c r="F62" s="340"/>
      <c r="G62" s="340"/>
    </row>
    <row r="63" spans="1:7">
      <c r="A63" s="340"/>
      <c r="B63" s="340"/>
      <c r="C63" s="340"/>
      <c r="D63" s="340"/>
      <c r="E63" s="340"/>
      <c r="F63" s="340"/>
      <c r="G63" s="340"/>
    </row>
    <row r="64" spans="1:7">
      <c r="A64" s="340"/>
      <c r="B64" s="340"/>
      <c r="C64" s="340"/>
      <c r="D64" s="340"/>
      <c r="E64" s="340"/>
      <c r="F64" s="340"/>
      <c r="G64" s="340"/>
    </row>
    <row r="65" spans="1:7">
      <c r="A65" s="340"/>
      <c r="B65" s="340"/>
      <c r="C65" s="340"/>
      <c r="D65" s="340"/>
      <c r="E65" s="340"/>
      <c r="F65" s="340"/>
      <c r="G65" s="340"/>
    </row>
    <row r="66" spans="1:7">
      <c r="A66" s="340"/>
      <c r="B66" s="340"/>
      <c r="C66" s="340"/>
      <c r="D66" s="340"/>
      <c r="E66" s="340"/>
      <c r="F66" s="340"/>
      <c r="G66" s="340"/>
    </row>
    <row r="67" spans="1:7">
      <c r="A67" s="340"/>
      <c r="B67" s="340"/>
      <c r="C67" s="340"/>
      <c r="D67" s="340"/>
      <c r="E67" s="340"/>
      <c r="F67" s="340"/>
      <c r="G67" s="340"/>
    </row>
    <row r="68" spans="1:7">
      <c r="A68" s="340"/>
      <c r="B68" s="340"/>
      <c r="C68" s="340"/>
      <c r="D68" s="340"/>
      <c r="E68" s="340"/>
      <c r="F68" s="340"/>
      <c r="G68" s="340"/>
    </row>
    <row r="69" spans="1:7">
      <c r="A69" s="340"/>
      <c r="B69" s="340"/>
      <c r="C69" s="340"/>
      <c r="D69" s="340"/>
      <c r="E69" s="340"/>
      <c r="F69" s="340"/>
      <c r="G69" s="340"/>
    </row>
    <row r="70" spans="1:7">
      <c r="A70" s="340"/>
      <c r="B70" s="340"/>
      <c r="C70" s="340"/>
      <c r="D70" s="340"/>
      <c r="E70" s="340"/>
      <c r="F70" s="340"/>
      <c r="G70" s="340"/>
    </row>
    <row r="71" spans="1:7">
      <c r="A71" s="340"/>
      <c r="B71" s="340"/>
      <c r="C71" s="340"/>
      <c r="D71" s="340"/>
      <c r="E71" s="340"/>
      <c r="F71" s="340"/>
      <c r="G71" s="340"/>
    </row>
    <row r="72" spans="1:7">
      <c r="A72" s="340"/>
      <c r="B72" s="340"/>
      <c r="C72" s="340"/>
      <c r="D72" s="340"/>
      <c r="E72" s="340"/>
      <c r="F72" s="340"/>
      <c r="G72" s="340"/>
    </row>
    <row r="73" spans="1:7">
      <c r="A73" s="340"/>
      <c r="B73" s="340"/>
      <c r="C73" s="340"/>
      <c r="D73" s="340"/>
      <c r="E73" s="340"/>
      <c r="F73" s="340"/>
      <c r="G73" s="340"/>
    </row>
    <row r="74" spans="1:7">
      <c r="A74" s="340"/>
      <c r="B74" s="340"/>
      <c r="C74" s="340"/>
      <c r="D74" s="340"/>
      <c r="E74" s="340"/>
      <c r="F74" s="340"/>
      <c r="G74" s="340"/>
    </row>
    <row r="75" spans="1:7">
      <c r="A75" s="340"/>
      <c r="B75" s="340"/>
      <c r="C75" s="340"/>
      <c r="D75" s="340"/>
      <c r="E75" s="340"/>
      <c r="F75" s="340"/>
      <c r="G75" s="340"/>
    </row>
    <row r="76" spans="1:7">
      <c r="A76" s="340"/>
      <c r="B76" s="340"/>
      <c r="C76" s="340"/>
      <c r="D76" s="340"/>
      <c r="E76" s="340"/>
      <c r="F76" s="340"/>
      <c r="G76" s="340"/>
    </row>
    <row r="77" spans="1:7">
      <c r="A77" s="340"/>
      <c r="B77" s="340"/>
      <c r="C77" s="340"/>
      <c r="D77" s="340"/>
      <c r="E77" s="340"/>
      <c r="F77" s="340"/>
      <c r="G77" s="340"/>
    </row>
    <row r="78" spans="1:7">
      <c r="A78" s="340"/>
      <c r="B78" s="340"/>
      <c r="C78" s="340"/>
      <c r="D78" s="340"/>
      <c r="E78" s="340"/>
      <c r="F78" s="340"/>
      <c r="G78" s="340"/>
    </row>
    <row r="79" spans="1:7">
      <c r="A79" s="340"/>
      <c r="B79" s="340"/>
      <c r="C79" s="340"/>
      <c r="D79" s="340"/>
      <c r="E79" s="340"/>
      <c r="F79" s="340"/>
      <c r="G79" s="340"/>
    </row>
    <row r="80" spans="1:7">
      <c r="A80" s="340"/>
      <c r="B80" s="340"/>
      <c r="C80" s="340"/>
      <c r="D80" s="340"/>
      <c r="E80" s="340"/>
      <c r="F80" s="340"/>
      <c r="G80" s="340"/>
    </row>
    <row r="81" spans="1:7">
      <c r="A81" s="340"/>
      <c r="B81" s="340"/>
      <c r="C81" s="340"/>
      <c r="D81" s="340"/>
      <c r="E81" s="340"/>
      <c r="F81" s="340"/>
      <c r="G81" s="340"/>
    </row>
    <row r="82" spans="1:7">
      <c r="A82" s="340"/>
      <c r="B82" s="340"/>
      <c r="C82" s="340"/>
      <c r="D82" s="340"/>
      <c r="E82" s="340"/>
      <c r="F82" s="340"/>
      <c r="G82" s="340"/>
    </row>
    <row r="83" spans="1:7">
      <c r="A83" s="340"/>
      <c r="B83" s="340"/>
      <c r="C83" s="340"/>
      <c r="D83" s="340"/>
      <c r="E83" s="340"/>
      <c r="F83" s="340"/>
      <c r="G83" s="340"/>
    </row>
    <row r="84" spans="1:7">
      <c r="A84" s="340"/>
      <c r="B84" s="340"/>
      <c r="C84" s="340"/>
      <c r="D84" s="340"/>
      <c r="E84" s="340"/>
      <c r="F84" s="340"/>
      <c r="G84" s="340"/>
    </row>
    <row r="85" spans="1:7">
      <c r="A85" s="340"/>
      <c r="B85" s="340"/>
      <c r="C85" s="340"/>
      <c r="D85" s="340"/>
      <c r="E85" s="340"/>
      <c r="F85" s="340"/>
      <c r="G85" s="340"/>
    </row>
    <row r="86" spans="1:7">
      <c r="A86" s="340"/>
      <c r="B86" s="340"/>
      <c r="C86" s="340"/>
      <c r="D86" s="340"/>
      <c r="E86" s="340"/>
      <c r="F86" s="340"/>
      <c r="G86" s="340"/>
    </row>
    <row r="87" spans="1:7">
      <c r="A87" s="340"/>
      <c r="B87" s="340"/>
      <c r="C87" s="340"/>
      <c r="D87" s="340"/>
      <c r="E87" s="340"/>
      <c r="F87" s="340"/>
      <c r="G87" s="340"/>
    </row>
    <row r="88" spans="1:7">
      <c r="A88" s="340"/>
      <c r="B88" s="340"/>
      <c r="C88" s="340"/>
      <c r="D88" s="340"/>
      <c r="E88" s="340"/>
      <c r="F88" s="340"/>
      <c r="G88" s="340"/>
    </row>
    <row r="89" spans="1:7">
      <c r="A89" s="340"/>
      <c r="B89" s="340"/>
      <c r="C89" s="340"/>
      <c r="D89" s="340"/>
      <c r="E89" s="340"/>
      <c r="F89" s="340"/>
      <c r="G89" s="340"/>
    </row>
    <row r="90" spans="1:7">
      <c r="A90" s="340"/>
      <c r="B90" s="340"/>
      <c r="C90" s="340"/>
      <c r="D90" s="340"/>
      <c r="E90" s="340"/>
      <c r="F90" s="340"/>
      <c r="G90" s="340"/>
    </row>
    <row r="91" spans="1:7">
      <c r="A91" s="340"/>
      <c r="B91" s="340"/>
      <c r="C91" s="340"/>
      <c r="D91" s="340"/>
      <c r="E91" s="340"/>
      <c r="F91" s="340"/>
      <c r="G91" s="340"/>
    </row>
    <row r="92" spans="1:7">
      <c r="A92" s="340"/>
      <c r="B92" s="340"/>
      <c r="C92" s="340"/>
      <c r="D92" s="340"/>
      <c r="E92" s="340"/>
      <c r="F92" s="340"/>
      <c r="G92" s="340"/>
    </row>
    <row r="93" spans="1:7">
      <c r="A93" s="340"/>
      <c r="B93" s="340"/>
      <c r="C93" s="340"/>
      <c r="D93" s="340"/>
      <c r="E93" s="340"/>
      <c r="F93" s="340"/>
      <c r="G93" s="340"/>
    </row>
    <row r="94" spans="1:7">
      <c r="A94" s="340"/>
      <c r="B94" s="340"/>
      <c r="C94" s="340"/>
      <c r="D94" s="340"/>
      <c r="E94" s="340"/>
      <c r="F94" s="340"/>
      <c r="G94" s="340"/>
    </row>
    <row r="95" spans="1:7">
      <c r="A95" s="340"/>
      <c r="B95" s="340"/>
      <c r="C95" s="340"/>
      <c r="D95" s="340"/>
      <c r="E95" s="340"/>
      <c r="F95" s="340"/>
      <c r="G95" s="340"/>
    </row>
    <row r="96" spans="1:7">
      <c r="A96" s="340"/>
      <c r="B96" s="340"/>
      <c r="C96" s="340"/>
      <c r="D96" s="340"/>
      <c r="E96" s="340"/>
      <c r="F96" s="340"/>
      <c r="G96" s="340"/>
    </row>
    <row r="97" spans="1:7">
      <c r="A97" s="340"/>
      <c r="B97" s="340"/>
      <c r="C97" s="340"/>
      <c r="D97" s="340"/>
      <c r="E97" s="340"/>
      <c r="F97" s="340"/>
      <c r="G97" s="340"/>
    </row>
    <row r="98" spans="1:7">
      <c r="A98" s="340"/>
      <c r="B98" s="340"/>
      <c r="C98" s="340"/>
      <c r="D98" s="340"/>
      <c r="E98" s="340"/>
      <c r="F98" s="340"/>
      <c r="G98" s="340"/>
    </row>
    <row r="99" spans="1:7">
      <c r="A99" s="340"/>
      <c r="B99" s="340"/>
      <c r="C99" s="340"/>
      <c r="D99" s="340"/>
      <c r="E99" s="340"/>
      <c r="F99" s="340"/>
      <c r="G99" s="340"/>
    </row>
    <row r="100" spans="1:7">
      <c r="A100" s="340"/>
      <c r="B100" s="340"/>
      <c r="C100" s="340"/>
      <c r="D100" s="340"/>
      <c r="E100" s="340"/>
      <c r="F100" s="340"/>
      <c r="G100" s="340"/>
    </row>
    <row r="101" spans="1:7">
      <c r="A101" s="340"/>
      <c r="B101" s="340"/>
      <c r="C101" s="340"/>
      <c r="D101" s="340"/>
      <c r="E101" s="340"/>
      <c r="F101" s="340"/>
      <c r="G101" s="340"/>
    </row>
  </sheetData>
  <sheetProtection password="C3C4" sheet="1" objects="1" scenarios="1"/>
  <dataValidations count="1">
    <dataValidation type="whole" allowBlank="1" showInputMessage="1" showErrorMessage="1" errorTitle="Data Validation" error="Please enter a whole number between 0 and 2147483647." sqref="E5:G5 E20:G44 B5:B44 C18:G18" xr:uid="{769D2E90-E8EC-4454-9990-DBC668FD6118}">
      <formula1>0</formula1>
      <formula2>2147483647</formula2>
    </dataValidation>
  </dataValidations>
  <pageMargins left="0.7" right="0.7" top="0.75" bottom="0.75" header="0.3" footer="0.3"/>
  <ignoredErrors>
    <ignoredError sqref="B18:H18" unlockedFormula="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6133-8388-4293-B1ED-8E351136AA15}">
  <sheetPr>
    <tabColor theme="8" tint="0.39997558519241921"/>
  </sheetPr>
  <dimension ref="A1:I127"/>
  <sheetViews>
    <sheetView topLeftCell="A31" workbookViewId="0">
      <selection activeCell="B40" sqref="B40"/>
    </sheetView>
  </sheetViews>
  <sheetFormatPr defaultColWidth="8.88671875" defaultRowHeight="13.2"/>
  <cols>
    <col min="1" max="1" width="21.88671875" style="15" bestFit="1" customWidth="1"/>
    <col min="2" max="9" width="15.6640625" style="15" customWidth="1"/>
    <col min="10" max="16384" width="8.88671875" style="15"/>
  </cols>
  <sheetData>
    <row r="1" spans="1:9">
      <c r="A1" s="385"/>
      <c r="B1" s="385"/>
      <c r="E1" s="385"/>
      <c r="F1" s="385"/>
      <c r="G1" s="385"/>
    </row>
    <row r="2" spans="1:9">
      <c r="A2" s="398" t="s">
        <v>1454</v>
      </c>
      <c r="B2" s="447"/>
      <c r="C2" s="448"/>
      <c r="D2" s="448"/>
      <c r="E2" s="386"/>
      <c r="F2" s="386"/>
      <c r="G2" s="386"/>
    </row>
    <row r="3" spans="1:9">
      <c r="A3" s="387"/>
      <c r="B3" s="388"/>
      <c r="E3" s="388"/>
      <c r="F3" s="388"/>
      <c r="G3" s="388"/>
    </row>
    <row r="4" spans="1:9" ht="39.6">
      <c r="A4" s="395" t="s">
        <v>1421</v>
      </c>
      <c r="B4" s="395" t="s">
        <v>190</v>
      </c>
      <c r="C4" s="395" t="s">
        <v>1422</v>
      </c>
      <c r="D4" s="395" t="s">
        <v>1423</v>
      </c>
      <c r="E4" s="395" t="s">
        <v>1424</v>
      </c>
      <c r="F4" s="395" t="s">
        <v>1425</v>
      </c>
      <c r="G4" s="395" t="s">
        <v>1426</v>
      </c>
      <c r="H4" s="395" t="s">
        <v>1427</v>
      </c>
      <c r="I4" s="449" t="s">
        <v>210</v>
      </c>
    </row>
    <row r="5" spans="1:9">
      <c r="A5" s="390" t="s">
        <v>369</v>
      </c>
      <c r="B5" s="391"/>
      <c r="C5" s="392"/>
      <c r="D5" s="392"/>
      <c r="E5" s="391"/>
      <c r="F5" s="391"/>
      <c r="G5" s="391"/>
      <c r="H5" s="392"/>
      <c r="I5" s="450">
        <f t="shared" ref="I5:I44" si="0">+SUM(B5:H5)</f>
        <v>0</v>
      </c>
    </row>
    <row r="6" spans="1:9">
      <c r="A6" s="390" t="s">
        <v>377</v>
      </c>
      <c r="B6" s="391"/>
      <c r="C6" s="392"/>
      <c r="D6" s="392"/>
      <c r="E6" s="392"/>
      <c r="F6" s="392"/>
      <c r="G6" s="392"/>
      <c r="H6" s="392"/>
      <c r="I6" s="450">
        <f t="shared" si="0"/>
        <v>0</v>
      </c>
    </row>
    <row r="7" spans="1:9">
      <c r="A7" s="390" t="s">
        <v>385</v>
      </c>
      <c r="B7" s="391"/>
      <c r="C7" s="392"/>
      <c r="D7" s="392"/>
      <c r="E7" s="392"/>
      <c r="F7" s="392"/>
      <c r="G7" s="392"/>
      <c r="H7" s="392"/>
      <c r="I7" s="450">
        <f t="shared" si="0"/>
        <v>0</v>
      </c>
    </row>
    <row r="8" spans="1:9" ht="26.4">
      <c r="A8" s="390" t="s">
        <v>1428</v>
      </c>
      <c r="B8" s="391"/>
      <c r="C8" s="392"/>
      <c r="D8" s="392"/>
      <c r="E8" s="392"/>
      <c r="F8" s="392"/>
      <c r="G8" s="392"/>
      <c r="H8" s="392"/>
      <c r="I8" s="450">
        <f t="shared" si="0"/>
        <v>0</v>
      </c>
    </row>
    <row r="9" spans="1:9" ht="26.4">
      <c r="A9" s="390" t="s">
        <v>416</v>
      </c>
      <c r="B9" s="391"/>
      <c r="C9" s="392"/>
      <c r="D9" s="392"/>
      <c r="E9" s="392"/>
      <c r="F9" s="392"/>
      <c r="G9" s="392"/>
      <c r="H9" s="392"/>
      <c r="I9" s="450">
        <f t="shared" si="0"/>
        <v>0</v>
      </c>
    </row>
    <row r="10" spans="1:9">
      <c r="A10" s="390" t="s">
        <v>420</v>
      </c>
      <c r="B10" s="391"/>
      <c r="C10" s="392"/>
      <c r="D10" s="392"/>
      <c r="E10" s="392"/>
      <c r="F10" s="392"/>
      <c r="G10" s="392"/>
      <c r="H10" s="392"/>
      <c r="I10" s="450">
        <f t="shared" si="0"/>
        <v>0</v>
      </c>
    </row>
    <row r="11" spans="1:9">
      <c r="A11" s="390" t="s">
        <v>422</v>
      </c>
      <c r="B11" s="391"/>
      <c r="C11" s="392"/>
      <c r="D11" s="392"/>
      <c r="E11" s="392"/>
      <c r="F11" s="392"/>
      <c r="G11" s="392"/>
      <c r="H11" s="392"/>
      <c r="I11" s="450">
        <f t="shared" si="0"/>
        <v>0</v>
      </c>
    </row>
    <row r="12" spans="1:9">
      <c r="A12" s="390" t="s">
        <v>1429</v>
      </c>
      <c r="B12" s="391"/>
      <c r="C12" s="392"/>
      <c r="D12" s="392"/>
      <c r="E12" s="392"/>
      <c r="F12" s="392"/>
      <c r="G12" s="392"/>
      <c r="H12" s="392"/>
      <c r="I12" s="450">
        <f t="shared" si="0"/>
        <v>0</v>
      </c>
    </row>
    <row r="13" spans="1:9" ht="25.2" customHeight="1">
      <c r="A13" s="390" t="s">
        <v>1430</v>
      </c>
      <c r="B13" s="391"/>
      <c r="C13" s="392"/>
      <c r="D13" s="392"/>
      <c r="E13" s="392"/>
      <c r="F13" s="392"/>
      <c r="G13" s="392"/>
      <c r="H13" s="392"/>
      <c r="I13" s="450">
        <f t="shared" si="0"/>
        <v>0</v>
      </c>
    </row>
    <row r="14" spans="1:9">
      <c r="A14" s="390" t="s">
        <v>490</v>
      </c>
      <c r="B14" s="391"/>
      <c r="C14" s="392"/>
      <c r="D14" s="392"/>
      <c r="E14" s="392"/>
      <c r="F14" s="392"/>
      <c r="G14" s="392"/>
      <c r="H14" s="392"/>
      <c r="I14" s="450">
        <f t="shared" si="0"/>
        <v>0</v>
      </c>
    </row>
    <row r="15" spans="1:9">
      <c r="A15" s="390" t="s">
        <v>1431</v>
      </c>
      <c r="B15" s="391"/>
      <c r="C15" s="392"/>
      <c r="D15" s="392"/>
      <c r="E15" s="392"/>
      <c r="F15" s="392"/>
      <c r="G15" s="392"/>
      <c r="H15" s="392"/>
      <c r="I15" s="450">
        <f t="shared" si="0"/>
        <v>0</v>
      </c>
    </row>
    <row r="16" spans="1:9">
      <c r="A16" s="390" t="s">
        <v>1432</v>
      </c>
      <c r="B16" s="391"/>
      <c r="C16" s="392"/>
      <c r="D16" s="392"/>
      <c r="E16" s="392"/>
      <c r="F16" s="392"/>
      <c r="G16" s="392"/>
      <c r="H16" s="392"/>
      <c r="I16" s="450">
        <f t="shared" si="0"/>
        <v>0</v>
      </c>
    </row>
    <row r="17" spans="1:9" ht="26.4">
      <c r="A17" s="390" t="s">
        <v>518</v>
      </c>
      <c r="B17" s="391"/>
      <c r="C17" s="392"/>
      <c r="D17" s="392"/>
      <c r="E17" s="392"/>
      <c r="F17" s="392"/>
      <c r="G17" s="392"/>
      <c r="H17" s="392"/>
      <c r="I17" s="450">
        <f t="shared" si="0"/>
        <v>0</v>
      </c>
    </row>
    <row r="18" spans="1:9" ht="26.4">
      <c r="A18" s="390" t="s">
        <v>1433</v>
      </c>
      <c r="B18" s="391"/>
      <c r="C18" s="392"/>
      <c r="D18" s="392"/>
      <c r="E18" s="392"/>
      <c r="F18" s="392"/>
      <c r="G18" s="392"/>
      <c r="H18" s="392"/>
      <c r="I18" s="450">
        <f t="shared" si="0"/>
        <v>0</v>
      </c>
    </row>
    <row r="19" spans="1:9" ht="26.4">
      <c r="A19" s="390" t="s">
        <v>1434</v>
      </c>
      <c r="B19" s="391"/>
      <c r="C19" s="392"/>
      <c r="D19" s="392"/>
      <c r="E19" s="392"/>
      <c r="F19" s="392"/>
      <c r="G19" s="392"/>
      <c r="H19" s="392"/>
      <c r="I19" s="450">
        <f t="shared" si="0"/>
        <v>0</v>
      </c>
    </row>
    <row r="20" spans="1:9">
      <c r="A20" s="390" t="s">
        <v>1435</v>
      </c>
      <c r="B20" s="391"/>
      <c r="C20" s="392"/>
      <c r="D20" s="392"/>
      <c r="E20" s="391"/>
      <c r="F20" s="391"/>
      <c r="G20" s="391"/>
      <c r="H20" s="392"/>
      <c r="I20" s="450">
        <f t="shared" si="0"/>
        <v>0</v>
      </c>
    </row>
    <row r="21" spans="1:9">
      <c r="A21" s="390" t="s">
        <v>1436</v>
      </c>
      <c r="B21" s="391"/>
      <c r="C21" s="392"/>
      <c r="D21" s="392"/>
      <c r="E21" s="391"/>
      <c r="F21" s="391"/>
      <c r="G21" s="391"/>
      <c r="H21" s="392"/>
      <c r="I21" s="450">
        <f t="shared" si="0"/>
        <v>0</v>
      </c>
    </row>
    <row r="22" spans="1:9">
      <c r="A22" s="390" t="s">
        <v>583</v>
      </c>
      <c r="B22" s="391"/>
      <c r="C22" s="392"/>
      <c r="D22" s="392"/>
      <c r="E22" s="391"/>
      <c r="F22" s="391"/>
      <c r="G22" s="391"/>
      <c r="H22" s="392"/>
      <c r="I22" s="450">
        <f t="shared" si="0"/>
        <v>0</v>
      </c>
    </row>
    <row r="23" spans="1:9">
      <c r="A23" s="390" t="s">
        <v>587</v>
      </c>
      <c r="B23" s="391"/>
      <c r="C23" s="392"/>
      <c r="D23" s="392"/>
      <c r="E23" s="391"/>
      <c r="F23" s="391"/>
      <c r="G23" s="391"/>
      <c r="H23" s="392"/>
      <c r="I23" s="450">
        <f t="shared" si="0"/>
        <v>0</v>
      </c>
    </row>
    <row r="24" spans="1:9">
      <c r="A24" s="390" t="s">
        <v>808</v>
      </c>
      <c r="B24" s="391"/>
      <c r="C24" s="392"/>
      <c r="D24" s="392"/>
      <c r="E24" s="391"/>
      <c r="F24" s="391"/>
      <c r="G24" s="391"/>
      <c r="H24" s="392"/>
      <c r="I24" s="450">
        <f t="shared" si="0"/>
        <v>0</v>
      </c>
    </row>
    <row r="25" spans="1:9" ht="26.4">
      <c r="A25" s="390" t="s">
        <v>593</v>
      </c>
      <c r="B25" s="391"/>
      <c r="C25" s="392"/>
      <c r="D25" s="392"/>
      <c r="E25" s="391"/>
      <c r="F25" s="391"/>
      <c r="G25" s="391"/>
      <c r="H25" s="392"/>
      <c r="I25" s="450">
        <f t="shared" si="0"/>
        <v>0</v>
      </c>
    </row>
    <row r="26" spans="1:9" ht="26.4">
      <c r="A26" s="390" t="s">
        <v>1437</v>
      </c>
      <c r="B26" s="391"/>
      <c r="C26" s="392"/>
      <c r="D26" s="392"/>
      <c r="E26" s="391"/>
      <c r="F26" s="391"/>
      <c r="G26" s="391"/>
      <c r="H26" s="392"/>
      <c r="I26" s="450">
        <f t="shared" si="0"/>
        <v>0</v>
      </c>
    </row>
    <row r="27" spans="1:9" ht="26.4">
      <c r="A27" s="390" t="s">
        <v>601</v>
      </c>
      <c r="B27" s="391"/>
      <c r="C27" s="392"/>
      <c r="D27" s="392"/>
      <c r="E27" s="391"/>
      <c r="F27" s="391"/>
      <c r="G27" s="391"/>
      <c r="H27" s="392"/>
      <c r="I27" s="450">
        <f t="shared" si="0"/>
        <v>0</v>
      </c>
    </row>
    <row r="28" spans="1:9">
      <c r="A28" s="390" t="s">
        <v>1438</v>
      </c>
      <c r="B28" s="390"/>
      <c r="C28" s="392"/>
      <c r="D28" s="392"/>
      <c r="E28" s="391"/>
      <c r="F28" s="391"/>
      <c r="G28" s="391"/>
      <c r="H28" s="392"/>
      <c r="I28" s="450">
        <f t="shared" si="0"/>
        <v>0</v>
      </c>
    </row>
    <row r="29" spans="1:9" ht="26.4">
      <c r="A29" s="390" t="s">
        <v>759</v>
      </c>
      <c r="B29" s="391"/>
      <c r="C29" s="392"/>
      <c r="D29" s="392"/>
      <c r="E29" s="391"/>
      <c r="F29" s="391"/>
      <c r="G29" s="391"/>
      <c r="H29" s="392"/>
      <c r="I29" s="450">
        <f t="shared" si="0"/>
        <v>0</v>
      </c>
    </row>
    <row r="30" spans="1:9">
      <c r="A30" s="390" t="s">
        <v>776</v>
      </c>
      <c r="B30" s="391"/>
      <c r="C30" s="392"/>
      <c r="D30" s="392"/>
      <c r="E30" s="391"/>
      <c r="F30" s="391"/>
      <c r="G30" s="391"/>
      <c r="H30" s="392"/>
      <c r="I30" s="450">
        <f t="shared" si="0"/>
        <v>0</v>
      </c>
    </row>
    <row r="31" spans="1:9" ht="26.4">
      <c r="A31" s="390" t="s">
        <v>780</v>
      </c>
      <c r="B31" s="391"/>
      <c r="C31" s="392"/>
      <c r="D31" s="392"/>
      <c r="E31" s="391"/>
      <c r="F31" s="391"/>
      <c r="G31" s="391"/>
      <c r="H31" s="392"/>
      <c r="I31" s="450">
        <f t="shared" si="0"/>
        <v>0</v>
      </c>
    </row>
    <row r="32" spans="1:9" ht="26.4">
      <c r="A32" s="390" t="s">
        <v>782</v>
      </c>
      <c r="B32" s="391"/>
      <c r="C32" s="392"/>
      <c r="D32" s="392"/>
      <c r="E32" s="391"/>
      <c r="F32" s="391"/>
      <c r="G32" s="391"/>
      <c r="H32" s="392"/>
      <c r="I32" s="450">
        <f t="shared" si="0"/>
        <v>0</v>
      </c>
    </row>
    <row r="33" spans="1:9" ht="26.4">
      <c r="A33" s="390" t="s">
        <v>1440</v>
      </c>
      <c r="B33" s="391"/>
      <c r="C33" s="392"/>
      <c r="D33" s="392"/>
      <c r="E33" s="391"/>
      <c r="F33" s="391"/>
      <c r="G33" s="391"/>
      <c r="H33" s="392"/>
      <c r="I33" s="450">
        <f t="shared" si="0"/>
        <v>0</v>
      </c>
    </row>
    <row r="34" spans="1:9">
      <c r="A34" s="390" t="s">
        <v>1441</v>
      </c>
      <c r="B34" s="391"/>
      <c r="C34" s="392"/>
      <c r="D34" s="392"/>
      <c r="E34" s="391"/>
      <c r="F34" s="391"/>
      <c r="G34" s="391"/>
      <c r="H34" s="392"/>
      <c r="I34" s="450">
        <f t="shared" si="0"/>
        <v>0</v>
      </c>
    </row>
    <row r="35" spans="1:9" ht="26.4">
      <c r="A35" s="496" t="s">
        <v>853</v>
      </c>
      <c r="B35" s="494">
        <f>'III-E - #12519'!C11</f>
        <v>0</v>
      </c>
      <c r="C35" s="494">
        <f>'III-E - #12519'!D11</f>
        <v>0</v>
      </c>
      <c r="D35" s="494">
        <f>'III-E - #12519'!E11</f>
        <v>0</v>
      </c>
      <c r="E35" s="494">
        <f>'III-E - #12519'!F11</f>
        <v>0</v>
      </c>
      <c r="F35" s="494">
        <f>'III-E - #12519'!G11</f>
        <v>0</v>
      </c>
      <c r="G35" s="494">
        <f>'III-E - #12519'!H11</f>
        <v>0</v>
      </c>
      <c r="H35" s="495">
        <f>'III-E - #12519'!J11+'III-E - #12519'!L11</f>
        <v>0</v>
      </c>
      <c r="I35" s="396">
        <f t="shared" si="0"/>
        <v>0</v>
      </c>
    </row>
    <row r="36" spans="1:9" ht="26.4">
      <c r="A36" s="496" t="s">
        <v>858</v>
      </c>
      <c r="B36" s="494">
        <f>'III-E - #12519'!C12</f>
        <v>0</v>
      </c>
      <c r="C36" s="494">
        <f>'III-E - #12519'!D12</f>
        <v>0</v>
      </c>
      <c r="D36" s="494">
        <f>'III-E - #12519'!E12</f>
        <v>0</v>
      </c>
      <c r="E36" s="494">
        <f>'III-E - #12519'!F12</f>
        <v>0</v>
      </c>
      <c r="F36" s="494">
        <f>'III-E - #12519'!G12</f>
        <v>0</v>
      </c>
      <c r="G36" s="494">
        <f>'III-E - #12519'!H12</f>
        <v>0</v>
      </c>
      <c r="H36" s="495">
        <f>'III-E - #12519'!J12+'III-E - #12519'!L12</f>
        <v>0</v>
      </c>
      <c r="I36" s="396">
        <f t="shared" si="0"/>
        <v>0</v>
      </c>
    </row>
    <row r="37" spans="1:9">
      <c r="A37" s="496" t="s">
        <v>868</v>
      </c>
      <c r="B37" s="494">
        <f>'III-E - #12519'!C13</f>
        <v>0</v>
      </c>
      <c r="C37" s="494">
        <f>'III-E - #12519'!D13</f>
        <v>0</v>
      </c>
      <c r="D37" s="494">
        <f>'III-E - #12519'!E13</f>
        <v>0</v>
      </c>
      <c r="E37" s="494">
        <f>'III-E - #12519'!F13</f>
        <v>0</v>
      </c>
      <c r="F37" s="494">
        <f>'III-E - #12519'!G13</f>
        <v>0</v>
      </c>
      <c r="G37" s="494">
        <f>'III-E - #12519'!H13</f>
        <v>0</v>
      </c>
      <c r="H37" s="495">
        <f>'III-E - #12519'!J13+'III-E - #12519'!L13</f>
        <v>0</v>
      </c>
      <c r="I37" s="396">
        <f t="shared" si="0"/>
        <v>0</v>
      </c>
    </row>
    <row r="38" spans="1:9" ht="26.4">
      <c r="A38" s="496" t="s">
        <v>880</v>
      </c>
      <c r="B38" s="494">
        <f>'III-E - #12519'!C14</f>
        <v>0</v>
      </c>
      <c r="C38" s="494">
        <f>'III-E - #12519'!D14</f>
        <v>0</v>
      </c>
      <c r="D38" s="494">
        <f>'III-E - #12519'!E14</f>
        <v>0</v>
      </c>
      <c r="E38" s="494">
        <f>'III-E - #12519'!F14</f>
        <v>0</v>
      </c>
      <c r="F38" s="494">
        <f>'III-E - #12519'!G14</f>
        <v>0</v>
      </c>
      <c r="G38" s="494">
        <f>'III-E - #12519'!H14</f>
        <v>0</v>
      </c>
      <c r="H38" s="495">
        <f>'III-E - #12519'!J14+'III-E - #12519'!L14</f>
        <v>0</v>
      </c>
      <c r="I38" s="396">
        <f t="shared" si="0"/>
        <v>0</v>
      </c>
    </row>
    <row r="39" spans="1:9" ht="26.4">
      <c r="A39" s="496" t="s">
        <v>1442</v>
      </c>
      <c r="B39" s="494">
        <f>'III-E - #12519'!C15</f>
        <v>0</v>
      </c>
      <c r="C39" s="494">
        <f>'III-E - #12519'!D15</f>
        <v>0</v>
      </c>
      <c r="D39" s="494">
        <f>'III-E - #12519'!E15</f>
        <v>0</v>
      </c>
      <c r="E39" s="494">
        <f>'III-E - #12519'!F15</f>
        <v>0</v>
      </c>
      <c r="F39" s="494">
        <f>'III-E - #12519'!G15</f>
        <v>0</v>
      </c>
      <c r="G39" s="494">
        <f>'III-E - #12519'!H15</f>
        <v>0</v>
      </c>
      <c r="H39" s="495">
        <f>'III-E - #12519'!J15+'III-E - #12519'!L15</f>
        <v>0</v>
      </c>
      <c r="I39" s="396">
        <f t="shared" si="0"/>
        <v>0</v>
      </c>
    </row>
    <row r="40" spans="1:9" ht="26.4">
      <c r="A40" s="496" t="s">
        <v>1443</v>
      </c>
      <c r="B40" s="494">
        <f>'III-E - #12519'!C16</f>
        <v>0</v>
      </c>
      <c r="C40" s="494">
        <f>'III-E - #12519'!D16</f>
        <v>0</v>
      </c>
      <c r="D40" s="494">
        <f>'III-E - #12519'!E16</f>
        <v>0</v>
      </c>
      <c r="E40" s="494">
        <f>'III-E - #12519'!F16</f>
        <v>0</v>
      </c>
      <c r="F40" s="494">
        <f>'III-E - #12519'!G16</f>
        <v>0</v>
      </c>
      <c r="G40" s="494">
        <f>'III-E - #12519'!H16</f>
        <v>0</v>
      </c>
      <c r="H40" s="495">
        <f>'III-E - #12519'!J16+'III-E - #12519'!L16</f>
        <v>0</v>
      </c>
      <c r="I40" s="396">
        <f t="shared" si="0"/>
        <v>0</v>
      </c>
    </row>
    <row r="41" spans="1:9" ht="26.4">
      <c r="A41" s="496" t="s">
        <v>1444</v>
      </c>
      <c r="B41" s="494">
        <f>'III-E - #12519'!C17</f>
        <v>0</v>
      </c>
      <c r="C41" s="494">
        <f>'III-E - #12519'!D17</f>
        <v>0</v>
      </c>
      <c r="D41" s="494">
        <f>'III-E - #12519'!E17</f>
        <v>0</v>
      </c>
      <c r="E41" s="494">
        <f>'III-E - #12519'!F17</f>
        <v>0</v>
      </c>
      <c r="F41" s="494">
        <f>'III-E - #12519'!G17</f>
        <v>0</v>
      </c>
      <c r="G41" s="494">
        <f>'III-E - #12519'!H17</f>
        <v>0</v>
      </c>
      <c r="H41" s="495">
        <f>'III-E - #12519'!J17+'III-E - #12519'!L17</f>
        <v>0</v>
      </c>
      <c r="I41" s="396">
        <f t="shared" si="0"/>
        <v>0</v>
      </c>
    </row>
    <row r="42" spans="1:9" ht="26.4">
      <c r="A42" s="496" t="s">
        <v>911</v>
      </c>
      <c r="B42" s="494">
        <f>'III-E - #12519'!C18</f>
        <v>0</v>
      </c>
      <c r="C42" s="494">
        <f>'III-E - #12519'!D18</f>
        <v>0</v>
      </c>
      <c r="D42" s="494">
        <f>'III-E - #12519'!E18</f>
        <v>0</v>
      </c>
      <c r="E42" s="494">
        <f>'III-E - #12519'!F18</f>
        <v>0</v>
      </c>
      <c r="F42" s="494">
        <f>'III-E - #12519'!G18</f>
        <v>0</v>
      </c>
      <c r="G42" s="494">
        <f>'III-E - #12519'!H18</f>
        <v>0</v>
      </c>
      <c r="H42" s="495">
        <f>'III-E - #12519'!J18+'III-E - #12519'!L18</f>
        <v>0</v>
      </c>
      <c r="I42" s="396">
        <f t="shared" si="0"/>
        <v>0</v>
      </c>
    </row>
    <row r="43" spans="1:9" ht="26.4">
      <c r="A43" s="496" t="s">
        <v>1445</v>
      </c>
      <c r="B43" s="494">
        <f>'III-E - #12519'!C20</f>
        <v>0</v>
      </c>
      <c r="C43" s="494">
        <f>'III-E - #12519'!D20</f>
        <v>0</v>
      </c>
      <c r="D43" s="494">
        <f>'III-E - #12519'!E20</f>
        <v>0</v>
      </c>
      <c r="E43" s="494">
        <f>'III-E - #12519'!F20</f>
        <v>0</v>
      </c>
      <c r="F43" s="494">
        <f>'III-E - #12519'!G20</f>
        <v>0</v>
      </c>
      <c r="G43" s="494">
        <f>'III-E - #12519'!H20</f>
        <v>0</v>
      </c>
      <c r="H43" s="495">
        <f>'III-E - #12519'!J20+'III-E - #12519'!L20</f>
        <v>0</v>
      </c>
      <c r="I43" s="396">
        <f t="shared" si="0"/>
        <v>0</v>
      </c>
    </row>
    <row r="44" spans="1:9">
      <c r="A44" s="496" t="s">
        <v>926</v>
      </c>
      <c r="B44" s="494">
        <f>'III-E - #12519'!C19</f>
        <v>0</v>
      </c>
      <c r="C44" s="494">
        <f>'III-E - #12519'!D19</f>
        <v>0</v>
      </c>
      <c r="D44" s="494">
        <f>'III-E - #12519'!E19</f>
        <v>0</v>
      </c>
      <c r="E44" s="494">
        <f>'III-E - #12519'!F19</f>
        <v>0</v>
      </c>
      <c r="F44" s="494">
        <f>'III-E - #12519'!G19</f>
        <v>0</v>
      </c>
      <c r="G44" s="494">
        <f>'III-E - #12519'!H19</f>
        <v>0</v>
      </c>
      <c r="H44" s="495">
        <f>'III-E - #12519'!J19+'III-E - #12519'!L19</f>
        <v>0</v>
      </c>
      <c r="I44" s="396">
        <f t="shared" si="0"/>
        <v>0</v>
      </c>
    </row>
    <row r="45" spans="1:9">
      <c r="A45" s="389" t="s">
        <v>1413</v>
      </c>
      <c r="B45" s="396">
        <f>+SUM(B5:B44)</f>
        <v>0</v>
      </c>
      <c r="C45" s="396">
        <f t="shared" ref="C45:I45" si="1">+SUM(C5:C44)</f>
        <v>0</v>
      </c>
      <c r="D45" s="396">
        <f t="shared" si="1"/>
        <v>0</v>
      </c>
      <c r="E45" s="396">
        <f t="shared" si="1"/>
        <v>0</v>
      </c>
      <c r="F45" s="396">
        <f t="shared" si="1"/>
        <v>0</v>
      </c>
      <c r="G45" s="396">
        <f t="shared" si="1"/>
        <v>0</v>
      </c>
      <c r="H45" s="396">
        <f t="shared" si="1"/>
        <v>0</v>
      </c>
      <c r="I45" s="396">
        <f t="shared" si="1"/>
        <v>0</v>
      </c>
    </row>
    <row r="46" spans="1:9" ht="13.8" thickBot="1"/>
    <row r="47" spans="1:9" ht="13.8" thickBot="1">
      <c r="A47" s="394"/>
    </row>
    <row r="48" spans="1:9">
      <c r="A48" s="340"/>
      <c r="B48" s="340"/>
      <c r="C48" s="340"/>
      <c r="D48" s="340"/>
      <c r="E48" s="340"/>
      <c r="F48" s="340"/>
      <c r="H48" s="446"/>
    </row>
    <row r="49" spans="1:6">
      <c r="A49" s="340"/>
      <c r="B49" s="340"/>
      <c r="C49" s="340"/>
      <c r="D49" s="340"/>
      <c r="E49" s="340"/>
      <c r="F49" s="340"/>
    </row>
    <row r="50" spans="1:6">
      <c r="A50" s="340"/>
      <c r="B50" s="340"/>
      <c r="C50" s="340"/>
      <c r="D50" s="340"/>
      <c r="E50" s="340"/>
      <c r="F50" s="340"/>
    </row>
    <row r="51" spans="1:6">
      <c r="A51" s="340"/>
      <c r="B51" s="340"/>
      <c r="C51" s="340"/>
      <c r="D51" s="340"/>
      <c r="E51" s="340"/>
      <c r="F51" s="340"/>
    </row>
    <row r="52" spans="1:6">
      <c r="A52" s="340"/>
      <c r="B52" s="340"/>
      <c r="C52" s="340"/>
      <c r="D52" s="340"/>
      <c r="E52" s="340"/>
      <c r="F52" s="340"/>
    </row>
    <row r="53" spans="1:6">
      <c r="A53" s="340"/>
      <c r="B53" s="340"/>
      <c r="C53" s="340"/>
      <c r="D53" s="340"/>
      <c r="E53" s="340"/>
      <c r="F53" s="340"/>
    </row>
    <row r="54" spans="1:6">
      <c r="A54" s="340"/>
      <c r="B54" s="340"/>
      <c r="C54" s="340"/>
      <c r="D54" s="340"/>
      <c r="E54" s="340"/>
      <c r="F54" s="340"/>
    </row>
    <row r="55" spans="1:6">
      <c r="A55" s="340"/>
      <c r="B55" s="340"/>
      <c r="C55" s="340"/>
      <c r="D55" s="340"/>
      <c r="E55" s="340"/>
      <c r="F55" s="340"/>
    </row>
    <row r="56" spans="1:6">
      <c r="A56" s="340"/>
      <c r="B56" s="340"/>
      <c r="C56" s="340"/>
      <c r="D56" s="340"/>
      <c r="E56" s="340"/>
      <c r="F56" s="340"/>
    </row>
    <row r="57" spans="1:6">
      <c r="A57" s="340"/>
      <c r="B57" s="340"/>
      <c r="C57" s="340"/>
      <c r="D57" s="340"/>
      <c r="E57" s="340"/>
      <c r="F57" s="340"/>
    </row>
    <row r="58" spans="1:6">
      <c r="A58" s="340"/>
      <c r="B58" s="340"/>
      <c r="C58" s="340"/>
      <c r="D58" s="340"/>
      <c r="E58" s="340"/>
      <c r="F58" s="340"/>
    </row>
    <row r="59" spans="1:6">
      <c r="A59" s="340"/>
      <c r="B59" s="340"/>
      <c r="C59" s="340"/>
      <c r="D59" s="340"/>
      <c r="E59" s="340"/>
      <c r="F59" s="340"/>
    </row>
    <row r="60" spans="1:6">
      <c r="A60" s="340"/>
      <c r="B60" s="340"/>
      <c r="C60" s="340"/>
      <c r="D60" s="340"/>
      <c r="E60" s="340"/>
      <c r="F60" s="340"/>
    </row>
    <row r="61" spans="1:6">
      <c r="A61" s="340"/>
      <c r="B61" s="340"/>
      <c r="C61" s="340"/>
      <c r="D61" s="340"/>
      <c r="E61" s="340"/>
      <c r="F61" s="340"/>
    </row>
    <row r="62" spans="1:6">
      <c r="A62" s="340"/>
      <c r="B62" s="340"/>
      <c r="C62" s="340"/>
      <c r="D62" s="340"/>
      <c r="E62" s="340"/>
      <c r="F62" s="340"/>
    </row>
    <row r="63" spans="1:6">
      <c r="A63" s="340"/>
      <c r="B63" s="340"/>
      <c r="C63" s="340"/>
      <c r="D63" s="340"/>
      <c r="E63" s="340"/>
      <c r="F63" s="340"/>
    </row>
    <row r="64" spans="1:6">
      <c r="A64" s="340"/>
      <c r="B64" s="340"/>
      <c r="C64" s="340"/>
      <c r="D64" s="340"/>
      <c r="E64" s="340"/>
      <c r="F64" s="340"/>
    </row>
    <row r="65" spans="1:6">
      <c r="A65" s="340"/>
      <c r="B65" s="340"/>
      <c r="C65" s="340"/>
      <c r="D65" s="340"/>
      <c r="E65" s="340"/>
      <c r="F65" s="340"/>
    </row>
    <row r="66" spans="1:6">
      <c r="A66" s="340"/>
      <c r="B66" s="340"/>
      <c r="C66" s="340"/>
      <c r="D66" s="340"/>
      <c r="E66" s="340"/>
      <c r="F66" s="340"/>
    </row>
    <row r="67" spans="1:6">
      <c r="A67" s="340"/>
      <c r="B67" s="340"/>
      <c r="C67" s="340"/>
      <c r="D67" s="340"/>
      <c r="E67" s="340"/>
      <c r="F67" s="340"/>
    </row>
    <row r="68" spans="1:6">
      <c r="A68" s="340"/>
      <c r="B68" s="340"/>
      <c r="C68" s="340"/>
      <c r="D68" s="340"/>
      <c r="E68" s="340"/>
      <c r="F68" s="340"/>
    </row>
    <row r="69" spans="1:6">
      <c r="A69" s="340"/>
      <c r="B69" s="340"/>
      <c r="C69" s="340"/>
      <c r="D69" s="340"/>
      <c r="E69" s="340"/>
      <c r="F69" s="340"/>
    </row>
    <row r="70" spans="1:6">
      <c r="A70" s="340"/>
      <c r="B70" s="340"/>
      <c r="C70" s="340"/>
      <c r="D70" s="340"/>
      <c r="E70" s="340"/>
      <c r="F70" s="340"/>
    </row>
    <row r="71" spans="1:6">
      <c r="A71" s="340"/>
      <c r="B71" s="340"/>
      <c r="C71" s="340"/>
      <c r="D71" s="340"/>
      <c r="E71" s="340"/>
      <c r="F71" s="340"/>
    </row>
    <row r="72" spans="1:6">
      <c r="A72" s="340"/>
      <c r="B72" s="340"/>
      <c r="C72" s="340"/>
      <c r="D72" s="340"/>
      <c r="E72" s="340"/>
      <c r="F72" s="340"/>
    </row>
    <row r="73" spans="1:6">
      <c r="A73" s="340"/>
      <c r="B73" s="340"/>
      <c r="C73" s="340"/>
      <c r="D73" s="340"/>
      <c r="E73" s="340"/>
      <c r="F73" s="340"/>
    </row>
    <row r="74" spans="1:6">
      <c r="A74" s="340"/>
      <c r="B74" s="340"/>
      <c r="C74" s="340"/>
      <c r="D74" s="340"/>
      <c r="E74" s="340"/>
      <c r="F74" s="340"/>
    </row>
    <row r="75" spans="1:6">
      <c r="A75" s="340"/>
      <c r="B75" s="340"/>
      <c r="C75" s="340"/>
      <c r="D75" s="340"/>
      <c r="E75" s="340"/>
      <c r="F75" s="340"/>
    </row>
    <row r="76" spans="1:6">
      <c r="A76" s="340"/>
      <c r="B76" s="340"/>
      <c r="C76" s="340"/>
      <c r="D76" s="340"/>
      <c r="E76" s="340"/>
      <c r="F76" s="340"/>
    </row>
    <row r="77" spans="1:6">
      <c r="A77" s="340"/>
      <c r="B77" s="340"/>
      <c r="C77" s="340"/>
      <c r="D77" s="340"/>
      <c r="E77" s="340"/>
      <c r="F77" s="340"/>
    </row>
    <row r="78" spans="1:6">
      <c r="A78" s="340"/>
      <c r="B78" s="340"/>
      <c r="C78" s="340"/>
      <c r="D78" s="340"/>
      <c r="E78" s="340"/>
      <c r="F78" s="340"/>
    </row>
    <row r="79" spans="1:6">
      <c r="A79" s="340"/>
      <c r="B79" s="340"/>
      <c r="C79" s="340"/>
      <c r="D79" s="340"/>
      <c r="E79" s="340"/>
      <c r="F79" s="340"/>
    </row>
    <row r="80" spans="1:6">
      <c r="A80" s="340"/>
      <c r="B80" s="340"/>
      <c r="C80" s="340"/>
      <c r="D80" s="340"/>
      <c r="E80" s="340"/>
      <c r="F80" s="340"/>
    </row>
    <row r="81" spans="1:6">
      <c r="A81" s="340"/>
      <c r="B81" s="340"/>
      <c r="C81" s="340"/>
      <c r="D81" s="340"/>
      <c r="E81" s="340"/>
      <c r="F81" s="340"/>
    </row>
    <row r="82" spans="1:6">
      <c r="A82" s="340"/>
      <c r="B82" s="340"/>
      <c r="C82" s="340"/>
      <c r="D82" s="340"/>
      <c r="E82" s="340"/>
      <c r="F82" s="340"/>
    </row>
    <row r="83" spans="1:6">
      <c r="A83" s="340"/>
      <c r="B83" s="340"/>
      <c r="C83" s="340"/>
      <c r="D83" s="340"/>
      <c r="E83" s="340"/>
      <c r="F83" s="340"/>
    </row>
    <row r="84" spans="1:6">
      <c r="A84" s="340"/>
      <c r="B84" s="340"/>
      <c r="C84" s="340"/>
      <c r="D84" s="340"/>
      <c r="E84" s="340"/>
      <c r="F84" s="340"/>
    </row>
    <row r="85" spans="1:6">
      <c r="A85" s="340"/>
      <c r="B85" s="340"/>
      <c r="C85" s="340"/>
      <c r="D85" s="340"/>
      <c r="E85" s="340"/>
      <c r="F85" s="340"/>
    </row>
    <row r="86" spans="1:6">
      <c r="A86" s="340"/>
      <c r="B86" s="340"/>
      <c r="C86" s="340"/>
      <c r="D86" s="340"/>
      <c r="E86" s="340"/>
      <c r="F86" s="340"/>
    </row>
    <row r="87" spans="1:6">
      <c r="A87" s="340"/>
      <c r="B87" s="340"/>
      <c r="C87" s="340"/>
      <c r="D87" s="340"/>
      <c r="E87" s="340"/>
      <c r="F87" s="340"/>
    </row>
    <row r="88" spans="1:6">
      <c r="A88" s="340"/>
      <c r="B88" s="340"/>
      <c r="C88" s="340"/>
      <c r="D88" s="340"/>
      <c r="E88" s="340"/>
      <c r="F88" s="340"/>
    </row>
    <row r="89" spans="1:6">
      <c r="A89" s="340"/>
      <c r="B89" s="340"/>
      <c r="C89" s="340"/>
      <c r="D89" s="340"/>
      <c r="E89" s="340"/>
      <c r="F89" s="340"/>
    </row>
    <row r="90" spans="1:6">
      <c r="A90" s="340"/>
      <c r="B90" s="340"/>
      <c r="C90" s="340"/>
      <c r="D90" s="340"/>
      <c r="E90" s="340"/>
      <c r="F90" s="340"/>
    </row>
    <row r="91" spans="1:6">
      <c r="A91" s="340"/>
      <c r="B91" s="340"/>
      <c r="C91" s="340"/>
      <c r="D91" s="340"/>
      <c r="E91" s="340"/>
      <c r="F91" s="340"/>
    </row>
    <row r="92" spans="1:6">
      <c r="A92" s="340"/>
      <c r="B92" s="340"/>
      <c r="C92" s="340"/>
      <c r="D92" s="340"/>
      <c r="E92" s="340"/>
      <c r="F92" s="340"/>
    </row>
    <row r="93" spans="1:6">
      <c r="A93" s="340"/>
      <c r="B93" s="340"/>
      <c r="C93" s="340"/>
      <c r="D93" s="340"/>
      <c r="E93" s="340"/>
      <c r="F93" s="340"/>
    </row>
    <row r="94" spans="1:6">
      <c r="A94" s="340"/>
      <c r="B94" s="340"/>
      <c r="C94" s="340"/>
      <c r="D94" s="340"/>
      <c r="E94" s="340"/>
      <c r="F94" s="340"/>
    </row>
    <row r="95" spans="1:6">
      <c r="A95" s="340"/>
      <c r="B95" s="340"/>
      <c r="C95" s="340"/>
      <c r="D95" s="340"/>
      <c r="E95" s="340"/>
      <c r="F95" s="340"/>
    </row>
    <row r="96" spans="1:6">
      <c r="A96" s="340"/>
      <c r="B96" s="340"/>
      <c r="C96" s="340"/>
      <c r="D96" s="340"/>
      <c r="E96" s="340"/>
      <c r="F96" s="340"/>
    </row>
    <row r="97" spans="1:6">
      <c r="A97" s="340"/>
      <c r="B97" s="340"/>
      <c r="C97" s="340"/>
      <c r="D97" s="340"/>
      <c r="E97" s="340"/>
      <c r="F97" s="340"/>
    </row>
    <row r="98" spans="1:6">
      <c r="A98" s="340"/>
      <c r="B98" s="340"/>
      <c r="C98" s="340"/>
      <c r="D98" s="340"/>
      <c r="E98" s="340"/>
      <c r="F98" s="340"/>
    </row>
    <row r="99" spans="1:6">
      <c r="A99" s="340"/>
      <c r="B99" s="340"/>
      <c r="C99" s="340"/>
      <c r="D99" s="340"/>
      <c r="E99" s="340"/>
      <c r="F99" s="340"/>
    </row>
    <row r="100" spans="1:6">
      <c r="A100" s="340"/>
      <c r="B100" s="340"/>
      <c r="C100" s="340"/>
      <c r="D100" s="340"/>
      <c r="E100" s="340"/>
      <c r="F100" s="340"/>
    </row>
    <row r="101" spans="1:6">
      <c r="A101" s="340"/>
      <c r="B101" s="340"/>
      <c r="C101" s="340"/>
      <c r="D101" s="340"/>
      <c r="E101" s="340"/>
      <c r="F101" s="340"/>
    </row>
    <row r="102" spans="1:6">
      <c r="A102" s="340"/>
      <c r="B102" s="340"/>
      <c r="C102" s="340"/>
      <c r="D102" s="340"/>
      <c r="E102" s="340"/>
      <c r="F102" s="340"/>
    </row>
    <row r="103" spans="1:6">
      <c r="A103" s="340"/>
      <c r="B103" s="340"/>
      <c r="C103" s="340"/>
      <c r="D103" s="340"/>
      <c r="E103" s="340"/>
      <c r="F103" s="340"/>
    </row>
    <row r="104" spans="1:6">
      <c r="A104" s="340"/>
      <c r="B104" s="340"/>
      <c r="C104" s="340"/>
      <c r="D104" s="340"/>
      <c r="E104" s="340"/>
      <c r="F104" s="340"/>
    </row>
    <row r="105" spans="1:6">
      <c r="A105" s="340"/>
      <c r="B105" s="340"/>
      <c r="C105" s="340"/>
      <c r="D105" s="340"/>
      <c r="E105" s="340"/>
      <c r="F105" s="340"/>
    </row>
    <row r="106" spans="1:6">
      <c r="A106" s="340"/>
      <c r="B106" s="340"/>
      <c r="C106" s="340"/>
      <c r="D106" s="340"/>
      <c r="E106" s="340"/>
      <c r="F106" s="340"/>
    </row>
    <row r="107" spans="1:6">
      <c r="A107" s="340"/>
      <c r="B107" s="340"/>
      <c r="C107" s="340"/>
      <c r="D107" s="340"/>
      <c r="E107" s="340"/>
      <c r="F107" s="340"/>
    </row>
    <row r="108" spans="1:6">
      <c r="A108" s="340"/>
      <c r="B108" s="340"/>
      <c r="C108" s="340"/>
      <c r="D108" s="340"/>
      <c r="E108" s="340"/>
      <c r="F108" s="340"/>
    </row>
    <row r="109" spans="1:6">
      <c r="A109" s="340"/>
      <c r="B109" s="340"/>
      <c r="C109" s="340"/>
      <c r="D109" s="340"/>
      <c r="E109" s="340"/>
      <c r="F109" s="340"/>
    </row>
    <row r="110" spans="1:6">
      <c r="A110" s="340"/>
      <c r="B110" s="340"/>
      <c r="C110" s="340"/>
      <c r="D110" s="340"/>
      <c r="E110" s="340"/>
      <c r="F110" s="340"/>
    </row>
    <row r="111" spans="1:6">
      <c r="A111" s="340"/>
      <c r="B111" s="340"/>
      <c r="C111" s="340"/>
      <c r="D111" s="340"/>
      <c r="E111" s="340"/>
      <c r="F111" s="340"/>
    </row>
    <row r="112" spans="1:6">
      <c r="A112" s="340"/>
      <c r="B112" s="340"/>
      <c r="C112" s="340"/>
      <c r="D112" s="340"/>
      <c r="E112" s="340"/>
      <c r="F112" s="340"/>
    </row>
    <row r="113" spans="1:6">
      <c r="A113" s="340"/>
      <c r="B113" s="340"/>
      <c r="C113" s="340"/>
      <c r="D113" s="340"/>
      <c r="E113" s="340"/>
      <c r="F113" s="340"/>
    </row>
    <row r="114" spans="1:6">
      <c r="A114" s="340"/>
      <c r="B114" s="340"/>
      <c r="C114" s="340"/>
      <c r="D114" s="340"/>
      <c r="E114" s="340"/>
      <c r="F114" s="340"/>
    </row>
    <row r="115" spans="1:6">
      <c r="A115" s="340"/>
      <c r="B115" s="340"/>
      <c r="C115" s="340"/>
      <c r="D115" s="340"/>
      <c r="E115" s="340"/>
      <c r="F115" s="340"/>
    </row>
    <row r="116" spans="1:6">
      <c r="A116" s="340"/>
      <c r="B116" s="340"/>
      <c r="C116" s="340"/>
      <c r="D116" s="340"/>
      <c r="E116" s="340"/>
      <c r="F116" s="340"/>
    </row>
    <row r="117" spans="1:6">
      <c r="A117" s="340"/>
      <c r="B117" s="340"/>
      <c r="C117" s="340"/>
      <c r="D117" s="340"/>
      <c r="E117" s="340"/>
      <c r="F117" s="340"/>
    </row>
    <row r="118" spans="1:6">
      <c r="A118" s="340"/>
      <c r="B118" s="340"/>
      <c r="C118" s="340"/>
      <c r="D118" s="340"/>
      <c r="E118" s="340"/>
      <c r="F118" s="340"/>
    </row>
    <row r="119" spans="1:6">
      <c r="A119" s="340"/>
      <c r="B119" s="340"/>
      <c r="C119" s="340"/>
      <c r="D119" s="340"/>
      <c r="E119" s="340"/>
      <c r="F119" s="340"/>
    </row>
    <row r="120" spans="1:6">
      <c r="A120" s="340"/>
      <c r="B120" s="340"/>
      <c r="C120" s="340"/>
      <c r="D120" s="340"/>
      <c r="E120" s="340"/>
      <c r="F120" s="340"/>
    </row>
    <row r="121" spans="1:6">
      <c r="A121" s="340"/>
      <c r="B121" s="340"/>
      <c r="C121" s="340"/>
      <c r="D121" s="340"/>
      <c r="E121" s="340"/>
      <c r="F121" s="340"/>
    </row>
    <row r="122" spans="1:6">
      <c r="A122" s="340"/>
      <c r="B122" s="340"/>
      <c r="C122" s="340"/>
      <c r="D122" s="340"/>
      <c r="E122" s="340"/>
      <c r="F122" s="340"/>
    </row>
    <row r="123" spans="1:6">
      <c r="A123" s="340"/>
      <c r="B123" s="340"/>
      <c r="C123" s="340"/>
      <c r="D123" s="340"/>
      <c r="E123" s="340"/>
      <c r="F123" s="340"/>
    </row>
    <row r="124" spans="1:6">
      <c r="A124" s="340"/>
      <c r="B124" s="340"/>
      <c r="C124" s="340"/>
      <c r="D124" s="340"/>
      <c r="E124" s="340"/>
      <c r="F124" s="340"/>
    </row>
    <row r="125" spans="1:6">
      <c r="A125" s="340"/>
      <c r="B125" s="340"/>
      <c r="C125" s="340"/>
      <c r="D125" s="340"/>
      <c r="E125" s="340"/>
      <c r="F125" s="340"/>
    </row>
    <row r="126" spans="1:6">
      <c r="A126" s="340"/>
      <c r="B126" s="340"/>
      <c r="C126" s="340"/>
      <c r="D126" s="340"/>
      <c r="E126" s="340"/>
      <c r="F126" s="340"/>
    </row>
    <row r="127" spans="1:6">
      <c r="A127" s="340"/>
      <c r="B127" s="340"/>
      <c r="C127" s="340"/>
      <c r="D127" s="340"/>
      <c r="E127" s="340"/>
      <c r="F127" s="340"/>
    </row>
  </sheetData>
  <sheetProtection password="C3C4" sheet="1" objects="1" scenarios="1"/>
  <dataValidations count="1">
    <dataValidation type="whole" allowBlank="1" showInputMessage="1" showErrorMessage="1" errorTitle="Data Validation" error="Please enter a whole number between 0 and 2147483647." sqref="E5:G5 B5:B44 E20:G34 C35:G44" xr:uid="{50DF6CBF-5FE3-423F-B760-05B2BCC33F66}">
      <formula1>0</formula1>
      <formula2>2147483647</formula2>
    </dataValidation>
  </dataValidations>
  <pageMargins left="0.7" right="0.7" top="0.75" bottom="0.75" header="0.3" footer="0.3"/>
  <ignoredErrors>
    <ignoredError sqref="B35:H44" unlocked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37477-183C-4B28-B4B4-1607D395FF02}">
  <sheetPr>
    <tabColor theme="8" tint="0.39997558519241921"/>
  </sheetPr>
  <dimension ref="A1:I244"/>
  <sheetViews>
    <sheetView topLeftCell="A28" workbookViewId="0">
      <selection activeCell="B35" sqref="B35"/>
    </sheetView>
  </sheetViews>
  <sheetFormatPr defaultColWidth="8.88671875" defaultRowHeight="13.2"/>
  <cols>
    <col min="1" max="1" width="21.88671875" style="15" bestFit="1" customWidth="1"/>
    <col min="2" max="9" width="15.6640625" style="15" customWidth="1"/>
    <col min="10" max="16384" width="8.88671875" style="15"/>
  </cols>
  <sheetData>
    <row r="1" spans="1:9">
      <c r="A1" s="385"/>
      <c r="B1" s="385"/>
      <c r="E1" s="385"/>
      <c r="F1" s="385"/>
      <c r="G1" s="385"/>
    </row>
    <row r="2" spans="1:9">
      <c r="A2" s="398" t="s">
        <v>1455</v>
      </c>
      <c r="B2" s="447"/>
      <c r="C2" s="448"/>
      <c r="D2" s="448"/>
      <c r="E2" s="447"/>
      <c r="F2" s="447"/>
      <c r="G2" s="447"/>
    </row>
    <row r="3" spans="1:9">
      <c r="A3" s="387"/>
      <c r="B3" s="388"/>
      <c r="E3" s="388"/>
      <c r="F3" s="388"/>
      <c r="G3" s="388"/>
    </row>
    <row r="4" spans="1:9" ht="39.6">
      <c r="A4" s="395" t="s">
        <v>1421</v>
      </c>
      <c r="B4" s="395" t="s">
        <v>190</v>
      </c>
      <c r="C4" s="395" t="s">
        <v>1422</v>
      </c>
      <c r="D4" s="395" t="s">
        <v>1423</v>
      </c>
      <c r="E4" s="395" t="s">
        <v>1424</v>
      </c>
      <c r="F4" s="395" t="s">
        <v>1425</v>
      </c>
      <c r="G4" s="395" t="s">
        <v>1426</v>
      </c>
      <c r="H4" s="395" t="s">
        <v>1427</v>
      </c>
      <c r="I4" s="395" t="s">
        <v>210</v>
      </c>
    </row>
    <row r="5" spans="1:9">
      <c r="A5" s="390" t="s">
        <v>369</v>
      </c>
      <c r="B5" s="391"/>
      <c r="C5" s="392"/>
      <c r="D5" s="392"/>
      <c r="E5" s="391"/>
      <c r="F5" s="391"/>
      <c r="G5" s="391"/>
      <c r="H5" s="392"/>
      <c r="I5" s="444">
        <f t="shared" ref="I5:I44" si="0">+SUM(B5:H5)</f>
        <v>0</v>
      </c>
    </row>
    <row r="6" spans="1:9">
      <c r="A6" s="390" t="s">
        <v>377</v>
      </c>
      <c r="B6" s="391"/>
      <c r="C6" s="392"/>
      <c r="D6" s="392"/>
      <c r="E6" s="392"/>
      <c r="F6" s="392"/>
      <c r="G6" s="392"/>
      <c r="H6" s="392"/>
      <c r="I6" s="444">
        <f t="shared" si="0"/>
        <v>0</v>
      </c>
    </row>
    <row r="7" spans="1:9">
      <c r="A7" s="390" t="s">
        <v>385</v>
      </c>
      <c r="B7" s="391"/>
      <c r="C7" s="392"/>
      <c r="D7" s="392"/>
      <c r="E7" s="392"/>
      <c r="F7" s="392"/>
      <c r="G7" s="392"/>
      <c r="H7" s="392"/>
      <c r="I7" s="444">
        <f t="shared" si="0"/>
        <v>0</v>
      </c>
    </row>
    <row r="8" spans="1:9" ht="26.4">
      <c r="A8" s="390" t="s">
        <v>1428</v>
      </c>
      <c r="B8" s="391"/>
      <c r="C8" s="392"/>
      <c r="D8" s="392"/>
      <c r="E8" s="392"/>
      <c r="F8" s="392"/>
      <c r="G8" s="392"/>
      <c r="H8" s="392"/>
      <c r="I8" s="444">
        <f t="shared" si="0"/>
        <v>0</v>
      </c>
    </row>
    <row r="9" spans="1:9" ht="26.4">
      <c r="A9" s="390" t="s">
        <v>416</v>
      </c>
      <c r="B9" s="391"/>
      <c r="C9" s="392"/>
      <c r="D9" s="392"/>
      <c r="E9" s="392"/>
      <c r="F9" s="392"/>
      <c r="G9" s="392"/>
      <c r="H9" s="392"/>
      <c r="I9" s="444">
        <f t="shared" si="0"/>
        <v>0</v>
      </c>
    </row>
    <row r="10" spans="1:9">
      <c r="A10" s="390" t="s">
        <v>420</v>
      </c>
      <c r="B10" s="391"/>
      <c r="C10" s="392"/>
      <c r="D10" s="392"/>
      <c r="E10" s="392"/>
      <c r="F10" s="392"/>
      <c r="G10" s="392"/>
      <c r="H10" s="392"/>
      <c r="I10" s="444">
        <f t="shared" si="0"/>
        <v>0</v>
      </c>
    </row>
    <row r="11" spans="1:9">
      <c r="A11" s="390" t="s">
        <v>422</v>
      </c>
      <c r="B11" s="391"/>
      <c r="C11" s="392"/>
      <c r="D11" s="392"/>
      <c r="E11" s="392"/>
      <c r="F11" s="392"/>
      <c r="G11" s="392"/>
      <c r="H11" s="392"/>
      <c r="I11" s="444">
        <f t="shared" si="0"/>
        <v>0</v>
      </c>
    </row>
    <row r="12" spans="1:9">
      <c r="A12" s="390" t="s">
        <v>1429</v>
      </c>
      <c r="B12" s="391"/>
      <c r="C12" s="392"/>
      <c r="D12" s="392"/>
      <c r="E12" s="392"/>
      <c r="F12" s="392"/>
      <c r="G12" s="392"/>
      <c r="H12" s="392"/>
      <c r="I12" s="444">
        <f t="shared" si="0"/>
        <v>0</v>
      </c>
    </row>
    <row r="13" spans="1:9" ht="25.2" customHeight="1">
      <c r="A13" s="390" t="s">
        <v>1430</v>
      </c>
      <c r="B13" s="391"/>
      <c r="C13" s="392"/>
      <c r="D13" s="392"/>
      <c r="E13" s="392"/>
      <c r="F13" s="392"/>
      <c r="G13" s="392"/>
      <c r="H13" s="392"/>
      <c r="I13" s="444">
        <f t="shared" si="0"/>
        <v>0</v>
      </c>
    </row>
    <row r="14" spans="1:9">
      <c r="A14" s="390" t="s">
        <v>490</v>
      </c>
      <c r="B14" s="391"/>
      <c r="C14" s="392"/>
      <c r="D14" s="392"/>
      <c r="E14" s="392"/>
      <c r="F14" s="392"/>
      <c r="G14" s="392"/>
      <c r="H14" s="392"/>
      <c r="I14" s="444">
        <f t="shared" si="0"/>
        <v>0</v>
      </c>
    </row>
    <row r="15" spans="1:9">
      <c r="A15" s="390" t="s">
        <v>1431</v>
      </c>
      <c r="B15" s="391"/>
      <c r="C15" s="392"/>
      <c r="D15" s="392"/>
      <c r="E15" s="392"/>
      <c r="F15" s="392"/>
      <c r="G15" s="392"/>
      <c r="H15" s="392"/>
      <c r="I15" s="444">
        <f t="shared" si="0"/>
        <v>0</v>
      </c>
    </row>
    <row r="16" spans="1:9">
      <c r="A16" s="390" t="s">
        <v>1432</v>
      </c>
      <c r="B16" s="391"/>
      <c r="C16" s="392"/>
      <c r="D16" s="392"/>
      <c r="E16" s="392"/>
      <c r="F16" s="392"/>
      <c r="G16" s="392"/>
      <c r="H16" s="392"/>
      <c r="I16" s="444">
        <f t="shared" si="0"/>
        <v>0</v>
      </c>
    </row>
    <row r="17" spans="1:9" ht="26.4">
      <c r="A17" s="390" t="s">
        <v>518</v>
      </c>
      <c r="B17" s="391"/>
      <c r="C17" s="392"/>
      <c r="D17" s="392"/>
      <c r="E17" s="392"/>
      <c r="F17" s="392"/>
      <c r="G17" s="392"/>
      <c r="H17" s="392"/>
      <c r="I17" s="444">
        <f t="shared" si="0"/>
        <v>0</v>
      </c>
    </row>
    <row r="18" spans="1:9" ht="26.4">
      <c r="A18" s="390" t="s">
        <v>1433</v>
      </c>
      <c r="B18" s="391"/>
      <c r="C18" s="392"/>
      <c r="D18" s="392"/>
      <c r="E18" s="392"/>
      <c r="F18" s="392"/>
      <c r="G18" s="392"/>
      <c r="H18" s="392"/>
      <c r="I18" s="444">
        <f t="shared" si="0"/>
        <v>0</v>
      </c>
    </row>
    <row r="19" spans="1:9" ht="26.4">
      <c r="A19" s="390" t="s">
        <v>1434</v>
      </c>
      <c r="B19" s="391"/>
      <c r="C19" s="392"/>
      <c r="D19" s="392"/>
      <c r="E19" s="392"/>
      <c r="F19" s="392"/>
      <c r="G19" s="392"/>
      <c r="H19" s="392"/>
      <c r="I19" s="444">
        <f t="shared" si="0"/>
        <v>0</v>
      </c>
    </row>
    <row r="20" spans="1:9">
      <c r="A20" s="390" t="s">
        <v>1435</v>
      </c>
      <c r="B20" s="391"/>
      <c r="C20" s="392"/>
      <c r="D20" s="392"/>
      <c r="E20" s="391"/>
      <c r="F20" s="391"/>
      <c r="G20" s="391"/>
      <c r="H20" s="392"/>
      <c r="I20" s="444">
        <f t="shared" si="0"/>
        <v>0</v>
      </c>
    </row>
    <row r="21" spans="1:9">
      <c r="A21" s="390" t="s">
        <v>1436</v>
      </c>
      <c r="B21" s="391"/>
      <c r="C21" s="392"/>
      <c r="D21" s="392"/>
      <c r="E21" s="391"/>
      <c r="F21" s="391"/>
      <c r="G21" s="391"/>
      <c r="H21" s="392"/>
      <c r="I21" s="444">
        <f t="shared" si="0"/>
        <v>0</v>
      </c>
    </row>
    <row r="22" spans="1:9">
      <c r="A22" s="390" t="s">
        <v>583</v>
      </c>
      <c r="B22" s="391"/>
      <c r="C22" s="392"/>
      <c r="D22" s="392"/>
      <c r="E22" s="391"/>
      <c r="F22" s="391"/>
      <c r="G22" s="391"/>
      <c r="H22" s="392"/>
      <c r="I22" s="444">
        <f t="shared" si="0"/>
        <v>0</v>
      </c>
    </row>
    <row r="23" spans="1:9">
      <c r="A23" s="390" t="s">
        <v>587</v>
      </c>
      <c r="B23" s="391"/>
      <c r="C23" s="392"/>
      <c r="D23" s="392"/>
      <c r="E23" s="391"/>
      <c r="F23" s="391"/>
      <c r="G23" s="391"/>
      <c r="H23" s="392"/>
      <c r="I23" s="444">
        <f t="shared" si="0"/>
        <v>0</v>
      </c>
    </row>
    <row r="24" spans="1:9">
      <c r="A24" s="390" t="s">
        <v>808</v>
      </c>
      <c r="B24" s="391"/>
      <c r="C24" s="392"/>
      <c r="D24" s="392"/>
      <c r="E24" s="391"/>
      <c r="F24" s="391"/>
      <c r="G24" s="391"/>
      <c r="H24" s="392"/>
      <c r="I24" s="444">
        <f t="shared" si="0"/>
        <v>0</v>
      </c>
    </row>
    <row r="25" spans="1:9" ht="26.4">
      <c r="A25" s="390" t="s">
        <v>593</v>
      </c>
      <c r="B25" s="391"/>
      <c r="C25" s="392"/>
      <c r="D25" s="392"/>
      <c r="E25" s="391"/>
      <c r="F25" s="391"/>
      <c r="G25" s="391"/>
      <c r="H25" s="392"/>
      <c r="I25" s="444">
        <f t="shared" si="0"/>
        <v>0</v>
      </c>
    </row>
    <row r="26" spans="1:9" ht="26.4">
      <c r="A26" s="390" t="s">
        <v>1437</v>
      </c>
      <c r="B26" s="391"/>
      <c r="C26" s="392"/>
      <c r="D26" s="392"/>
      <c r="E26" s="391"/>
      <c r="F26" s="391"/>
      <c r="G26" s="391"/>
      <c r="H26" s="392"/>
      <c r="I26" s="444">
        <f t="shared" si="0"/>
        <v>0</v>
      </c>
    </row>
    <row r="27" spans="1:9" ht="26.4">
      <c r="A27" s="390" t="s">
        <v>601</v>
      </c>
      <c r="B27" s="391"/>
      <c r="C27" s="392"/>
      <c r="D27" s="392"/>
      <c r="E27" s="391"/>
      <c r="F27" s="391"/>
      <c r="G27" s="391"/>
      <c r="H27" s="392"/>
      <c r="I27" s="444">
        <f t="shared" si="0"/>
        <v>0</v>
      </c>
    </row>
    <row r="28" spans="1:9">
      <c r="A28" s="390" t="s">
        <v>1438</v>
      </c>
      <c r="B28" s="390"/>
      <c r="C28" s="392"/>
      <c r="D28" s="392"/>
      <c r="E28" s="391"/>
      <c r="F28" s="391"/>
      <c r="G28" s="391"/>
      <c r="H28" s="392"/>
      <c r="I28" s="444">
        <f t="shared" si="0"/>
        <v>0</v>
      </c>
    </row>
    <row r="29" spans="1:9" ht="26.4">
      <c r="A29" s="390" t="s">
        <v>759</v>
      </c>
      <c r="B29" s="391"/>
      <c r="C29" s="392"/>
      <c r="D29" s="392"/>
      <c r="E29" s="391"/>
      <c r="F29" s="391"/>
      <c r="G29" s="391"/>
      <c r="H29" s="392"/>
      <c r="I29" s="444">
        <f t="shared" si="0"/>
        <v>0</v>
      </c>
    </row>
    <row r="30" spans="1:9">
      <c r="A30" s="390" t="s">
        <v>776</v>
      </c>
      <c r="B30" s="391"/>
      <c r="C30" s="392"/>
      <c r="D30" s="392"/>
      <c r="E30" s="391"/>
      <c r="F30" s="391"/>
      <c r="G30" s="391"/>
      <c r="H30" s="392"/>
      <c r="I30" s="444">
        <f t="shared" si="0"/>
        <v>0</v>
      </c>
    </row>
    <row r="31" spans="1:9" ht="26.4">
      <c r="A31" s="390" t="s">
        <v>780</v>
      </c>
      <c r="B31" s="391"/>
      <c r="C31" s="392"/>
      <c r="D31" s="392"/>
      <c r="E31" s="391"/>
      <c r="F31" s="391"/>
      <c r="G31" s="391"/>
      <c r="H31" s="392"/>
      <c r="I31" s="444">
        <f t="shared" si="0"/>
        <v>0</v>
      </c>
    </row>
    <row r="32" spans="1:9" ht="26.4">
      <c r="A32" s="390" t="s">
        <v>782</v>
      </c>
      <c r="B32" s="391"/>
      <c r="C32" s="392"/>
      <c r="D32" s="392"/>
      <c r="E32" s="391"/>
      <c r="F32" s="391"/>
      <c r="G32" s="391"/>
      <c r="H32" s="392"/>
      <c r="I32" s="444">
        <f t="shared" si="0"/>
        <v>0</v>
      </c>
    </row>
    <row r="33" spans="1:9" ht="26.4">
      <c r="A33" s="390" t="s">
        <v>1440</v>
      </c>
      <c r="B33" s="391"/>
      <c r="C33" s="392"/>
      <c r="D33" s="392"/>
      <c r="E33" s="391"/>
      <c r="F33" s="391"/>
      <c r="G33" s="391"/>
      <c r="H33" s="392"/>
      <c r="I33" s="444">
        <f t="shared" si="0"/>
        <v>0</v>
      </c>
    </row>
    <row r="34" spans="1:9">
      <c r="A34" s="390" t="s">
        <v>1441</v>
      </c>
      <c r="B34" s="391"/>
      <c r="C34" s="392"/>
      <c r="D34" s="392"/>
      <c r="E34" s="391"/>
      <c r="F34" s="391"/>
      <c r="G34" s="391"/>
      <c r="H34" s="392"/>
      <c r="I34" s="444">
        <f t="shared" si="0"/>
        <v>0</v>
      </c>
    </row>
    <row r="35" spans="1:9" ht="26.4">
      <c r="A35" s="496" t="s">
        <v>853</v>
      </c>
      <c r="B35" s="494">
        <f>'III-E - #12519'!C25</f>
        <v>0</v>
      </c>
      <c r="C35" s="494">
        <f>'III-E - #12519'!D25</f>
        <v>0</v>
      </c>
      <c r="D35" s="494">
        <f>'III-E - #12519'!E25</f>
        <v>0</v>
      </c>
      <c r="E35" s="494">
        <f>'III-E - #12519'!F25</f>
        <v>0</v>
      </c>
      <c r="F35" s="494">
        <f>'III-E - #12519'!G25</f>
        <v>0</v>
      </c>
      <c r="G35" s="494">
        <f>'III-E - #12519'!H25</f>
        <v>0</v>
      </c>
      <c r="H35" s="495">
        <f>'III-E - #12519'!J25+'III-E - #12519'!L25</f>
        <v>0</v>
      </c>
      <c r="I35" s="393">
        <f t="shared" si="0"/>
        <v>0</v>
      </c>
    </row>
    <row r="36" spans="1:9" ht="26.4">
      <c r="A36" s="496" t="s">
        <v>858</v>
      </c>
      <c r="B36" s="494">
        <f>'III-E - #12519'!C26</f>
        <v>0</v>
      </c>
      <c r="C36" s="494">
        <f>'III-E - #12519'!D26</f>
        <v>0</v>
      </c>
      <c r="D36" s="494">
        <f>'III-E - #12519'!E26</f>
        <v>0</v>
      </c>
      <c r="E36" s="494">
        <f>'III-E - #12519'!F26</f>
        <v>0</v>
      </c>
      <c r="F36" s="494">
        <f>'III-E - #12519'!G26</f>
        <v>0</v>
      </c>
      <c r="G36" s="494">
        <f>'III-E - #12519'!H26</f>
        <v>0</v>
      </c>
      <c r="H36" s="495">
        <f>'III-E - #12519'!J26+'III-E - #12519'!L26</f>
        <v>0</v>
      </c>
      <c r="I36" s="393">
        <f t="shared" si="0"/>
        <v>0</v>
      </c>
    </row>
    <row r="37" spans="1:9">
      <c r="A37" s="496" t="s">
        <v>868</v>
      </c>
      <c r="B37" s="494">
        <f>'III-E - #12519'!C27</f>
        <v>0</v>
      </c>
      <c r="C37" s="494">
        <f>'III-E - #12519'!D27</f>
        <v>0</v>
      </c>
      <c r="D37" s="494">
        <f>'III-E - #12519'!E27</f>
        <v>0</v>
      </c>
      <c r="E37" s="494">
        <f>'III-E - #12519'!F27</f>
        <v>0</v>
      </c>
      <c r="F37" s="494">
        <f>'III-E - #12519'!G27</f>
        <v>0</v>
      </c>
      <c r="G37" s="494">
        <f>'III-E - #12519'!H27</f>
        <v>0</v>
      </c>
      <c r="H37" s="495">
        <f>'III-E - #12519'!J27+'III-E - #12519'!L27</f>
        <v>0</v>
      </c>
      <c r="I37" s="393">
        <f t="shared" si="0"/>
        <v>0</v>
      </c>
    </row>
    <row r="38" spans="1:9" ht="26.4">
      <c r="A38" s="496" t="s">
        <v>880</v>
      </c>
      <c r="B38" s="494">
        <f>'III-E - #12519'!C28</f>
        <v>0</v>
      </c>
      <c r="C38" s="494">
        <f>'III-E - #12519'!D28</f>
        <v>0</v>
      </c>
      <c r="D38" s="494">
        <f>'III-E - #12519'!E28</f>
        <v>0</v>
      </c>
      <c r="E38" s="494">
        <f>'III-E - #12519'!F28</f>
        <v>0</v>
      </c>
      <c r="F38" s="494">
        <f>'III-E - #12519'!G28</f>
        <v>0</v>
      </c>
      <c r="G38" s="494">
        <f>'III-E - #12519'!H28</f>
        <v>0</v>
      </c>
      <c r="H38" s="495">
        <f>'III-E - #12519'!J28+'III-E - #12519'!L28</f>
        <v>0</v>
      </c>
      <c r="I38" s="393">
        <f t="shared" si="0"/>
        <v>0</v>
      </c>
    </row>
    <row r="39" spans="1:9" ht="26.4">
      <c r="A39" s="496" t="s">
        <v>1442</v>
      </c>
      <c r="B39" s="494">
        <f>'III-E - #12519'!C29</f>
        <v>0</v>
      </c>
      <c r="C39" s="494">
        <f>'III-E - #12519'!D29</f>
        <v>0</v>
      </c>
      <c r="D39" s="494">
        <f>'III-E - #12519'!E29</f>
        <v>0</v>
      </c>
      <c r="E39" s="494">
        <f>'III-E - #12519'!F29</f>
        <v>0</v>
      </c>
      <c r="F39" s="494">
        <f>'III-E - #12519'!G29</f>
        <v>0</v>
      </c>
      <c r="G39" s="494">
        <f>'III-E - #12519'!H29</f>
        <v>0</v>
      </c>
      <c r="H39" s="495">
        <f>'III-E - #12519'!J29+'III-E - #12519'!L29</f>
        <v>0</v>
      </c>
      <c r="I39" s="393">
        <f t="shared" si="0"/>
        <v>0</v>
      </c>
    </row>
    <row r="40" spans="1:9" ht="26.4">
      <c r="A40" s="496" t="s">
        <v>1443</v>
      </c>
      <c r="B40" s="494">
        <f>'III-E - #12519'!C30</f>
        <v>0</v>
      </c>
      <c r="C40" s="494">
        <f>'III-E - #12519'!D30</f>
        <v>0</v>
      </c>
      <c r="D40" s="494">
        <f>'III-E - #12519'!E30</f>
        <v>0</v>
      </c>
      <c r="E40" s="494">
        <f>'III-E - #12519'!F30</f>
        <v>0</v>
      </c>
      <c r="F40" s="494">
        <f>'III-E - #12519'!G30</f>
        <v>0</v>
      </c>
      <c r="G40" s="494">
        <f>'III-E - #12519'!H30</f>
        <v>0</v>
      </c>
      <c r="H40" s="495">
        <f>'III-E - #12519'!J30+'III-E - #12519'!L30</f>
        <v>0</v>
      </c>
      <c r="I40" s="393">
        <f t="shared" si="0"/>
        <v>0</v>
      </c>
    </row>
    <row r="41" spans="1:9" ht="26.4">
      <c r="A41" s="496" t="s">
        <v>1444</v>
      </c>
      <c r="B41" s="494">
        <f>'III-E - #12519'!C31</f>
        <v>0</v>
      </c>
      <c r="C41" s="494">
        <f>'III-E - #12519'!D31</f>
        <v>0</v>
      </c>
      <c r="D41" s="494">
        <f>'III-E - #12519'!E31</f>
        <v>0</v>
      </c>
      <c r="E41" s="494">
        <f>'III-E - #12519'!F31</f>
        <v>0</v>
      </c>
      <c r="F41" s="494">
        <f>'III-E - #12519'!G31</f>
        <v>0</v>
      </c>
      <c r="G41" s="494">
        <f>'III-E - #12519'!H31</f>
        <v>0</v>
      </c>
      <c r="H41" s="495">
        <f>'III-E - #12519'!J31+'III-E - #12519'!L31</f>
        <v>0</v>
      </c>
      <c r="I41" s="393">
        <f t="shared" si="0"/>
        <v>0</v>
      </c>
    </row>
    <row r="42" spans="1:9" ht="26.4">
      <c r="A42" s="496" t="s">
        <v>911</v>
      </c>
      <c r="B42" s="494">
        <f>'III-E - #12519'!C32</f>
        <v>0</v>
      </c>
      <c r="C42" s="494">
        <f>'III-E - #12519'!D32</f>
        <v>0</v>
      </c>
      <c r="D42" s="494">
        <f>'III-E - #12519'!E32</f>
        <v>0</v>
      </c>
      <c r="E42" s="494">
        <f>'III-E - #12519'!F32</f>
        <v>0</v>
      </c>
      <c r="F42" s="494">
        <f>'III-E - #12519'!G32</f>
        <v>0</v>
      </c>
      <c r="G42" s="494">
        <f>'III-E - #12519'!H32</f>
        <v>0</v>
      </c>
      <c r="H42" s="495">
        <f>'III-E - #12519'!J32+'III-E - #12519'!L32</f>
        <v>0</v>
      </c>
      <c r="I42" s="393">
        <f t="shared" si="0"/>
        <v>0</v>
      </c>
    </row>
    <row r="43" spans="1:9" ht="26.4">
      <c r="A43" s="496" t="s">
        <v>1445</v>
      </c>
      <c r="B43" s="494">
        <f>'III-E - #12519'!C34</f>
        <v>0</v>
      </c>
      <c r="C43" s="494">
        <f>'III-E - #12519'!D34</f>
        <v>0</v>
      </c>
      <c r="D43" s="494">
        <f>'III-E - #12519'!E34</f>
        <v>0</v>
      </c>
      <c r="E43" s="494">
        <f>'III-E - #12519'!F34</f>
        <v>0</v>
      </c>
      <c r="F43" s="494">
        <f>'III-E - #12519'!G34</f>
        <v>0</v>
      </c>
      <c r="G43" s="494">
        <f>'III-E - #12519'!H34</f>
        <v>0</v>
      </c>
      <c r="H43" s="495">
        <f>'III-E - #12519'!J34+'III-E - #12519'!L34</f>
        <v>0</v>
      </c>
      <c r="I43" s="393">
        <f t="shared" si="0"/>
        <v>0</v>
      </c>
    </row>
    <row r="44" spans="1:9">
      <c r="A44" s="496" t="s">
        <v>926</v>
      </c>
      <c r="B44" s="494">
        <f>'III-E - #12519'!C33</f>
        <v>0</v>
      </c>
      <c r="C44" s="494">
        <f>'III-E - #12519'!D33</f>
        <v>0</v>
      </c>
      <c r="D44" s="494">
        <f>'III-E - #12519'!E33</f>
        <v>0</v>
      </c>
      <c r="E44" s="494">
        <f>'III-E - #12519'!F33</f>
        <v>0</v>
      </c>
      <c r="F44" s="494">
        <f>'III-E - #12519'!G33</f>
        <v>0</v>
      </c>
      <c r="G44" s="494">
        <f>'III-E - #12519'!H33</f>
        <v>0</v>
      </c>
      <c r="H44" s="495">
        <f>'III-E - #12519'!J33+'III-E - #12519'!L33</f>
        <v>0</v>
      </c>
      <c r="I44" s="393">
        <f t="shared" si="0"/>
        <v>0</v>
      </c>
    </row>
    <row r="45" spans="1:9">
      <c r="A45" s="445" t="s">
        <v>1413</v>
      </c>
      <c r="B45" s="493">
        <f>+SUM(B5:B44)</f>
        <v>0</v>
      </c>
      <c r="C45" s="493">
        <f t="shared" ref="C45:I45" si="1">+SUM(C5:C44)</f>
        <v>0</v>
      </c>
      <c r="D45" s="493">
        <f t="shared" si="1"/>
        <v>0</v>
      </c>
      <c r="E45" s="493">
        <f t="shared" si="1"/>
        <v>0</v>
      </c>
      <c r="F45" s="493">
        <f t="shared" si="1"/>
        <v>0</v>
      </c>
      <c r="G45" s="493">
        <f t="shared" si="1"/>
        <v>0</v>
      </c>
      <c r="H45" s="493">
        <f t="shared" si="1"/>
        <v>0</v>
      </c>
      <c r="I45" s="393">
        <f t="shared" si="1"/>
        <v>0</v>
      </c>
    </row>
    <row r="46" spans="1:9" ht="13.8" thickBot="1"/>
    <row r="47" spans="1:9" ht="13.8" thickBot="1">
      <c r="A47" s="394"/>
    </row>
    <row r="48" spans="1:9">
      <c r="A48" s="340"/>
      <c r="B48" s="340"/>
      <c r="C48" s="340"/>
      <c r="D48" s="340"/>
      <c r="E48" s="340"/>
      <c r="F48" s="340"/>
      <c r="G48" s="340"/>
      <c r="H48" s="446"/>
    </row>
    <row r="49" spans="1:7">
      <c r="A49" s="340"/>
      <c r="B49" s="340"/>
      <c r="C49" s="340"/>
      <c r="D49" s="340"/>
      <c r="E49" s="340"/>
      <c r="F49" s="340"/>
      <c r="G49" s="340"/>
    </row>
    <row r="50" spans="1:7">
      <c r="A50" s="340"/>
      <c r="B50" s="340"/>
      <c r="C50" s="340"/>
      <c r="D50" s="340"/>
      <c r="E50" s="340"/>
      <c r="F50" s="340"/>
      <c r="G50" s="340"/>
    </row>
    <row r="51" spans="1:7">
      <c r="A51" s="340"/>
      <c r="B51" s="340"/>
      <c r="C51" s="340"/>
      <c r="D51" s="340"/>
      <c r="E51" s="340"/>
      <c r="F51" s="340"/>
      <c r="G51" s="340"/>
    </row>
    <row r="52" spans="1:7">
      <c r="A52" s="340"/>
      <c r="B52" s="340"/>
      <c r="C52" s="340"/>
      <c r="D52" s="340"/>
      <c r="E52" s="340"/>
      <c r="F52" s="340"/>
      <c r="G52" s="340"/>
    </row>
    <row r="53" spans="1:7">
      <c r="A53" s="340"/>
      <c r="B53" s="340"/>
      <c r="C53" s="340"/>
      <c r="D53" s="340"/>
      <c r="E53" s="340"/>
      <c r="F53" s="340"/>
      <c r="G53" s="340"/>
    </row>
    <row r="54" spans="1:7">
      <c r="A54" s="340"/>
      <c r="B54" s="340"/>
      <c r="C54" s="340"/>
      <c r="D54" s="340"/>
      <c r="E54" s="340"/>
      <c r="F54" s="340"/>
      <c r="G54" s="340"/>
    </row>
    <row r="55" spans="1:7">
      <c r="A55" s="340"/>
      <c r="B55" s="340"/>
      <c r="C55" s="340"/>
      <c r="D55" s="340"/>
      <c r="E55" s="340"/>
      <c r="F55" s="340"/>
      <c r="G55" s="340"/>
    </row>
    <row r="56" spans="1:7">
      <c r="A56" s="340"/>
      <c r="B56" s="340"/>
      <c r="C56" s="340"/>
      <c r="D56" s="340"/>
      <c r="E56" s="340"/>
      <c r="F56" s="340"/>
      <c r="G56" s="340"/>
    </row>
    <row r="57" spans="1:7">
      <c r="A57" s="340"/>
      <c r="B57" s="340"/>
      <c r="C57" s="340"/>
      <c r="D57" s="340"/>
      <c r="E57" s="340"/>
      <c r="F57" s="340"/>
      <c r="G57" s="340"/>
    </row>
    <row r="58" spans="1:7">
      <c r="A58" s="340"/>
      <c r="B58" s="340"/>
      <c r="C58" s="340"/>
      <c r="D58" s="340"/>
      <c r="E58" s="340"/>
      <c r="F58" s="340"/>
      <c r="G58" s="340"/>
    </row>
    <row r="59" spans="1:7">
      <c r="A59" s="340"/>
      <c r="B59" s="340"/>
      <c r="C59" s="340"/>
      <c r="D59" s="340"/>
      <c r="E59" s="340"/>
      <c r="F59" s="340"/>
      <c r="G59" s="340"/>
    </row>
    <row r="60" spans="1:7">
      <c r="A60" s="340"/>
      <c r="B60" s="340"/>
      <c r="C60" s="340"/>
      <c r="D60" s="340"/>
      <c r="E60" s="340"/>
      <c r="F60" s="340"/>
      <c r="G60" s="340"/>
    </row>
    <row r="61" spans="1:7">
      <c r="A61" s="340"/>
      <c r="B61" s="340"/>
      <c r="C61" s="340"/>
      <c r="D61" s="340"/>
      <c r="E61" s="340"/>
      <c r="F61" s="340"/>
      <c r="G61" s="340"/>
    </row>
    <row r="62" spans="1:7">
      <c r="A62" s="340"/>
      <c r="B62" s="340"/>
      <c r="C62" s="340"/>
      <c r="D62" s="340"/>
      <c r="E62" s="340"/>
      <c r="F62" s="340"/>
      <c r="G62" s="340"/>
    </row>
    <row r="63" spans="1:7">
      <c r="A63" s="340"/>
      <c r="B63" s="340"/>
      <c r="C63" s="340"/>
      <c r="D63" s="340"/>
      <c r="E63" s="340"/>
      <c r="F63" s="340"/>
      <c r="G63" s="340"/>
    </row>
    <row r="64" spans="1:7">
      <c r="A64" s="340"/>
      <c r="B64" s="340"/>
      <c r="C64" s="340"/>
      <c r="D64" s="340"/>
      <c r="E64" s="340"/>
      <c r="F64" s="340"/>
      <c r="G64" s="340"/>
    </row>
    <row r="65" spans="1:7">
      <c r="A65" s="340"/>
      <c r="B65" s="340"/>
      <c r="C65" s="340"/>
      <c r="D65" s="340"/>
      <c r="E65" s="340"/>
      <c r="F65" s="340"/>
      <c r="G65" s="340"/>
    </row>
    <row r="66" spans="1:7">
      <c r="A66" s="340"/>
      <c r="B66" s="340"/>
      <c r="C66" s="340"/>
      <c r="D66" s="340"/>
      <c r="E66" s="340"/>
      <c r="F66" s="340"/>
      <c r="G66" s="340"/>
    </row>
    <row r="67" spans="1:7">
      <c r="A67" s="340"/>
      <c r="B67" s="340"/>
      <c r="C67" s="340"/>
      <c r="D67" s="340"/>
      <c r="E67" s="340"/>
      <c r="F67" s="340"/>
      <c r="G67" s="340"/>
    </row>
    <row r="68" spans="1:7">
      <c r="A68" s="340"/>
      <c r="B68" s="340"/>
      <c r="C68" s="340"/>
      <c r="D68" s="340"/>
      <c r="E68" s="340"/>
      <c r="F68" s="340"/>
      <c r="G68" s="340"/>
    </row>
    <row r="69" spans="1:7">
      <c r="A69" s="340"/>
      <c r="B69" s="340"/>
      <c r="C69" s="340"/>
      <c r="D69" s="340"/>
      <c r="E69" s="340"/>
      <c r="F69" s="340"/>
      <c r="G69" s="340"/>
    </row>
    <row r="70" spans="1:7">
      <c r="A70" s="340"/>
      <c r="B70" s="340"/>
      <c r="C70" s="340"/>
      <c r="D70" s="340"/>
      <c r="E70" s="340"/>
      <c r="F70" s="340"/>
      <c r="G70" s="340"/>
    </row>
    <row r="71" spans="1:7">
      <c r="A71" s="340"/>
      <c r="B71" s="340"/>
      <c r="C71" s="340"/>
      <c r="D71" s="340"/>
      <c r="E71" s="340"/>
      <c r="F71" s="340"/>
      <c r="G71" s="340"/>
    </row>
    <row r="72" spans="1:7">
      <c r="A72" s="340"/>
      <c r="B72" s="340"/>
      <c r="C72" s="340"/>
      <c r="D72" s="340"/>
      <c r="E72" s="340"/>
      <c r="F72" s="340"/>
      <c r="G72" s="340"/>
    </row>
    <row r="73" spans="1:7">
      <c r="A73" s="340"/>
      <c r="B73" s="340"/>
      <c r="C73" s="340"/>
      <c r="D73" s="340"/>
      <c r="E73" s="340"/>
      <c r="F73" s="340"/>
      <c r="G73" s="340"/>
    </row>
    <row r="74" spans="1:7">
      <c r="A74" s="340"/>
      <c r="B74" s="340"/>
      <c r="C74" s="340"/>
      <c r="D74" s="340"/>
      <c r="E74" s="340"/>
      <c r="F74" s="340"/>
      <c r="G74" s="340"/>
    </row>
    <row r="75" spans="1:7">
      <c r="A75" s="340"/>
      <c r="B75" s="340"/>
      <c r="C75" s="340"/>
      <c r="D75" s="340"/>
      <c r="E75" s="340"/>
      <c r="F75" s="340"/>
      <c r="G75" s="340"/>
    </row>
    <row r="76" spans="1:7">
      <c r="A76" s="340"/>
      <c r="B76" s="340"/>
      <c r="C76" s="340"/>
      <c r="D76" s="340"/>
      <c r="E76" s="340"/>
      <c r="F76" s="340"/>
      <c r="G76" s="340"/>
    </row>
    <row r="77" spans="1:7">
      <c r="A77" s="340"/>
      <c r="B77" s="340"/>
      <c r="C77" s="340"/>
      <c r="D77" s="340"/>
      <c r="E77" s="340"/>
      <c r="F77" s="340"/>
      <c r="G77" s="340"/>
    </row>
    <row r="78" spans="1:7">
      <c r="A78" s="340"/>
      <c r="B78" s="340"/>
      <c r="C78" s="340"/>
      <c r="D78" s="340"/>
      <c r="E78" s="340"/>
      <c r="F78" s="340"/>
      <c r="G78" s="340"/>
    </row>
    <row r="79" spans="1:7">
      <c r="A79" s="340"/>
      <c r="B79" s="340"/>
      <c r="C79" s="340"/>
      <c r="D79" s="340"/>
      <c r="E79" s="340"/>
      <c r="F79" s="340"/>
      <c r="G79" s="340"/>
    </row>
    <row r="80" spans="1:7">
      <c r="A80" s="340"/>
      <c r="B80" s="340"/>
      <c r="C80" s="340"/>
      <c r="D80" s="340"/>
      <c r="E80" s="340"/>
      <c r="F80" s="340"/>
      <c r="G80" s="340"/>
    </row>
    <row r="81" spans="1:7">
      <c r="A81" s="340"/>
      <c r="B81" s="340"/>
      <c r="C81" s="340"/>
      <c r="D81" s="340"/>
      <c r="E81" s="340"/>
      <c r="F81" s="340"/>
      <c r="G81" s="340"/>
    </row>
    <row r="82" spans="1:7">
      <c r="A82" s="340"/>
      <c r="B82" s="340"/>
      <c r="C82" s="340"/>
      <c r="D82" s="340"/>
      <c r="E82" s="340"/>
      <c r="F82" s="340"/>
      <c r="G82" s="340"/>
    </row>
    <row r="83" spans="1:7">
      <c r="A83" s="340"/>
      <c r="B83" s="340"/>
      <c r="C83" s="340"/>
      <c r="D83" s="340"/>
      <c r="E83" s="340"/>
      <c r="F83" s="340"/>
      <c r="G83" s="340"/>
    </row>
    <row r="84" spans="1:7">
      <c r="A84" s="340"/>
      <c r="B84" s="340"/>
      <c r="C84" s="340"/>
      <c r="D84" s="340"/>
      <c r="E84" s="340"/>
      <c r="F84" s="340"/>
      <c r="G84" s="340"/>
    </row>
    <row r="85" spans="1:7">
      <c r="A85" s="340"/>
      <c r="B85" s="340"/>
      <c r="C85" s="340"/>
      <c r="D85" s="340"/>
      <c r="E85" s="340"/>
      <c r="F85" s="340"/>
      <c r="G85" s="340"/>
    </row>
    <row r="86" spans="1:7">
      <c r="A86" s="340"/>
      <c r="B86" s="340"/>
      <c r="C86" s="340"/>
      <c r="D86" s="340"/>
      <c r="E86" s="340"/>
      <c r="F86" s="340"/>
      <c r="G86" s="340"/>
    </row>
    <row r="87" spans="1:7">
      <c r="A87" s="340"/>
      <c r="B87" s="340"/>
      <c r="C87" s="340"/>
      <c r="D87" s="340"/>
      <c r="E87" s="340"/>
      <c r="F87" s="340"/>
      <c r="G87" s="340"/>
    </row>
    <row r="88" spans="1:7">
      <c r="A88" s="340"/>
      <c r="B88" s="340"/>
      <c r="C88" s="340"/>
      <c r="D88" s="340"/>
      <c r="E88" s="340"/>
      <c r="F88" s="340"/>
      <c r="G88" s="340"/>
    </row>
    <row r="89" spans="1:7">
      <c r="A89" s="340"/>
      <c r="B89" s="340"/>
      <c r="C89" s="340"/>
      <c r="D89" s="340"/>
      <c r="E89" s="340"/>
      <c r="F89" s="340"/>
      <c r="G89" s="340"/>
    </row>
    <row r="90" spans="1:7">
      <c r="A90" s="340"/>
      <c r="B90" s="340"/>
      <c r="C90" s="340"/>
      <c r="D90" s="340"/>
      <c r="E90" s="340"/>
      <c r="F90" s="340"/>
      <c r="G90" s="340"/>
    </row>
    <row r="91" spans="1:7">
      <c r="A91" s="340"/>
      <c r="B91" s="340"/>
      <c r="C91" s="340"/>
      <c r="D91" s="340"/>
      <c r="E91" s="340"/>
      <c r="F91" s="340"/>
      <c r="G91" s="340"/>
    </row>
    <row r="92" spans="1:7">
      <c r="A92" s="340"/>
      <c r="B92" s="340"/>
      <c r="C92" s="340"/>
      <c r="D92" s="340"/>
      <c r="E92" s="340"/>
      <c r="F92" s="340"/>
      <c r="G92" s="340"/>
    </row>
    <row r="93" spans="1:7">
      <c r="A93" s="340"/>
      <c r="B93" s="340"/>
      <c r="C93" s="340"/>
      <c r="D93" s="340"/>
      <c r="E93" s="340"/>
      <c r="F93" s="340"/>
      <c r="G93" s="340"/>
    </row>
    <row r="94" spans="1:7">
      <c r="A94" s="340"/>
      <c r="B94" s="340"/>
      <c r="C94" s="340"/>
      <c r="D94" s="340"/>
      <c r="E94" s="340"/>
      <c r="F94" s="340"/>
      <c r="G94" s="340"/>
    </row>
    <row r="95" spans="1:7">
      <c r="A95" s="340"/>
      <c r="B95" s="340"/>
      <c r="C95" s="340"/>
      <c r="D95" s="340"/>
      <c r="E95" s="340"/>
      <c r="F95" s="340"/>
      <c r="G95" s="340"/>
    </row>
    <row r="96" spans="1:7">
      <c r="A96" s="340"/>
      <c r="B96" s="340"/>
      <c r="C96" s="340"/>
      <c r="D96" s="340"/>
      <c r="E96" s="340"/>
      <c r="F96" s="340"/>
      <c r="G96" s="340"/>
    </row>
    <row r="97" spans="1:7">
      <c r="A97" s="340"/>
      <c r="B97" s="340"/>
      <c r="C97" s="340"/>
      <c r="D97" s="340"/>
      <c r="E97" s="340"/>
      <c r="F97" s="340"/>
      <c r="G97" s="340"/>
    </row>
    <row r="98" spans="1:7">
      <c r="A98" s="340"/>
      <c r="B98" s="340"/>
      <c r="C98" s="340"/>
      <c r="D98" s="340"/>
      <c r="E98" s="340"/>
      <c r="F98" s="340"/>
      <c r="G98" s="340"/>
    </row>
    <row r="99" spans="1:7">
      <c r="A99" s="340"/>
      <c r="B99" s="340"/>
      <c r="C99" s="340"/>
      <c r="D99" s="340"/>
      <c r="E99" s="340"/>
      <c r="F99" s="340"/>
      <c r="G99" s="340"/>
    </row>
    <row r="100" spans="1:7">
      <c r="A100" s="340"/>
      <c r="B100" s="340"/>
      <c r="C100" s="340"/>
      <c r="D100" s="340"/>
      <c r="E100" s="340"/>
      <c r="F100" s="340"/>
      <c r="G100" s="340"/>
    </row>
    <row r="101" spans="1:7">
      <c r="A101" s="340"/>
      <c r="B101" s="340"/>
      <c r="C101" s="340"/>
      <c r="D101" s="340"/>
      <c r="E101" s="340"/>
      <c r="F101" s="340"/>
      <c r="G101" s="340"/>
    </row>
    <row r="102" spans="1:7">
      <c r="A102" s="340"/>
      <c r="B102" s="340"/>
      <c r="C102" s="340"/>
      <c r="D102" s="340"/>
      <c r="E102" s="340"/>
      <c r="F102" s="340"/>
      <c r="G102" s="340"/>
    </row>
    <row r="103" spans="1:7">
      <c r="A103" s="340"/>
      <c r="B103" s="340"/>
      <c r="C103" s="340"/>
      <c r="D103" s="340"/>
      <c r="E103" s="340"/>
      <c r="F103" s="340"/>
      <c r="G103" s="340"/>
    </row>
    <row r="104" spans="1:7">
      <c r="A104" s="340"/>
      <c r="B104" s="340"/>
      <c r="C104" s="340"/>
      <c r="D104" s="340"/>
      <c r="E104" s="340"/>
      <c r="F104" s="340"/>
      <c r="G104" s="340"/>
    </row>
    <row r="105" spans="1:7">
      <c r="A105" s="340"/>
      <c r="B105" s="340"/>
      <c r="C105" s="340"/>
      <c r="D105" s="340"/>
      <c r="E105" s="340"/>
      <c r="F105" s="340"/>
      <c r="G105" s="340"/>
    </row>
    <row r="106" spans="1:7">
      <c r="A106" s="340"/>
      <c r="B106" s="340"/>
      <c r="C106" s="340"/>
      <c r="D106" s="340"/>
      <c r="E106" s="340"/>
      <c r="F106" s="340"/>
      <c r="G106" s="340"/>
    </row>
    <row r="107" spans="1:7">
      <c r="A107" s="340"/>
      <c r="B107" s="340"/>
      <c r="C107" s="340"/>
      <c r="D107" s="340"/>
      <c r="E107" s="340"/>
      <c r="F107" s="340"/>
      <c r="G107" s="340"/>
    </row>
    <row r="108" spans="1:7">
      <c r="A108" s="340"/>
      <c r="B108" s="340"/>
      <c r="C108" s="340"/>
      <c r="D108" s="340"/>
      <c r="E108" s="340"/>
      <c r="F108" s="340"/>
      <c r="G108" s="340"/>
    </row>
    <row r="109" spans="1:7">
      <c r="A109" s="340"/>
      <c r="B109" s="340"/>
      <c r="C109" s="340"/>
      <c r="D109" s="340"/>
      <c r="E109" s="340"/>
      <c r="F109" s="340"/>
      <c r="G109" s="340"/>
    </row>
    <row r="110" spans="1:7">
      <c r="A110" s="340"/>
      <c r="B110" s="340"/>
      <c r="C110" s="340"/>
      <c r="D110" s="340"/>
      <c r="E110" s="340"/>
      <c r="F110" s="340"/>
      <c r="G110" s="340"/>
    </row>
    <row r="111" spans="1:7">
      <c r="A111" s="340"/>
      <c r="B111" s="340"/>
      <c r="C111" s="340"/>
      <c r="D111" s="340"/>
      <c r="E111" s="340"/>
      <c r="F111" s="340"/>
      <c r="G111" s="340"/>
    </row>
    <row r="112" spans="1:7">
      <c r="A112" s="340"/>
      <c r="B112" s="340"/>
      <c r="C112" s="340"/>
      <c r="D112" s="340"/>
      <c r="E112" s="340"/>
      <c r="F112" s="340"/>
      <c r="G112" s="340"/>
    </row>
    <row r="113" spans="1:7">
      <c r="A113" s="340"/>
      <c r="B113" s="340"/>
      <c r="C113" s="340"/>
      <c r="D113" s="340"/>
      <c r="E113" s="340"/>
      <c r="F113" s="340"/>
      <c r="G113" s="340"/>
    </row>
    <row r="114" spans="1:7">
      <c r="A114" s="340"/>
      <c r="B114" s="340"/>
      <c r="C114" s="340"/>
      <c r="D114" s="340"/>
      <c r="E114" s="340"/>
      <c r="F114" s="340"/>
      <c r="G114" s="340"/>
    </row>
    <row r="115" spans="1:7">
      <c r="A115" s="340"/>
      <c r="B115" s="340"/>
      <c r="C115" s="340"/>
      <c r="D115" s="340"/>
      <c r="E115" s="340"/>
      <c r="F115" s="340"/>
      <c r="G115" s="340"/>
    </row>
    <row r="116" spans="1:7">
      <c r="A116" s="340"/>
      <c r="B116" s="340"/>
      <c r="C116" s="340"/>
      <c r="D116" s="340"/>
      <c r="E116" s="340"/>
      <c r="F116" s="340"/>
      <c r="G116" s="340"/>
    </row>
    <row r="117" spans="1:7">
      <c r="A117" s="340"/>
      <c r="B117" s="340"/>
      <c r="C117" s="340"/>
      <c r="D117" s="340"/>
      <c r="E117" s="340"/>
      <c r="F117" s="340"/>
      <c r="G117" s="340"/>
    </row>
    <row r="118" spans="1:7">
      <c r="A118" s="340"/>
      <c r="B118" s="340"/>
      <c r="C118" s="340"/>
      <c r="D118" s="340"/>
      <c r="E118" s="340"/>
      <c r="F118" s="340"/>
      <c r="G118" s="340"/>
    </row>
    <row r="119" spans="1:7">
      <c r="A119" s="340"/>
      <c r="B119" s="340"/>
      <c r="C119" s="340"/>
      <c r="D119" s="340"/>
      <c r="E119" s="340"/>
      <c r="F119" s="340"/>
      <c r="G119" s="340"/>
    </row>
    <row r="120" spans="1:7">
      <c r="A120" s="340"/>
      <c r="B120" s="340"/>
      <c r="C120" s="340"/>
      <c r="D120" s="340"/>
      <c r="E120" s="340"/>
      <c r="F120" s="340"/>
      <c r="G120" s="340"/>
    </row>
    <row r="121" spans="1:7">
      <c r="A121" s="340"/>
      <c r="B121" s="340"/>
      <c r="C121" s="340"/>
      <c r="D121" s="340"/>
      <c r="E121" s="340"/>
      <c r="F121" s="340"/>
      <c r="G121" s="340"/>
    </row>
    <row r="122" spans="1:7">
      <c r="A122" s="340"/>
      <c r="B122" s="340"/>
      <c r="C122" s="340"/>
      <c r="D122" s="340"/>
      <c r="E122" s="340"/>
      <c r="F122" s="340"/>
      <c r="G122" s="340"/>
    </row>
    <row r="123" spans="1:7">
      <c r="A123" s="340"/>
      <c r="B123" s="340"/>
      <c r="C123" s="340"/>
      <c r="D123" s="340"/>
      <c r="E123" s="340"/>
      <c r="F123" s="340"/>
      <c r="G123" s="340"/>
    </row>
    <row r="124" spans="1:7">
      <c r="A124" s="340"/>
      <c r="B124" s="340"/>
      <c r="C124" s="340"/>
      <c r="D124" s="340"/>
      <c r="E124" s="340"/>
      <c r="F124" s="340"/>
      <c r="G124" s="340"/>
    </row>
    <row r="125" spans="1:7">
      <c r="A125" s="340"/>
      <c r="B125" s="340"/>
      <c r="C125" s="340"/>
      <c r="D125" s="340"/>
      <c r="E125" s="340"/>
      <c r="F125" s="340"/>
      <c r="G125" s="340"/>
    </row>
    <row r="126" spans="1:7">
      <c r="A126" s="340"/>
      <c r="B126" s="340"/>
      <c r="C126" s="340"/>
      <c r="D126" s="340"/>
      <c r="E126" s="340"/>
      <c r="F126" s="340"/>
      <c r="G126" s="340"/>
    </row>
    <row r="127" spans="1:7">
      <c r="A127" s="340"/>
      <c r="B127" s="340"/>
      <c r="C127" s="340"/>
      <c r="D127" s="340"/>
      <c r="E127" s="340"/>
      <c r="F127" s="340"/>
      <c r="G127" s="340"/>
    </row>
    <row r="128" spans="1:7">
      <c r="A128" s="340"/>
      <c r="B128" s="340"/>
      <c r="C128" s="340"/>
      <c r="D128" s="340"/>
      <c r="E128" s="340"/>
      <c r="F128" s="340"/>
      <c r="G128" s="340"/>
    </row>
    <row r="129" spans="1:7">
      <c r="A129" s="340"/>
      <c r="B129" s="340"/>
      <c r="C129" s="340"/>
      <c r="D129" s="340"/>
      <c r="E129" s="340"/>
      <c r="F129" s="340"/>
      <c r="G129" s="340"/>
    </row>
    <row r="130" spans="1:7">
      <c r="A130" s="340"/>
      <c r="B130" s="340"/>
      <c r="C130" s="340"/>
      <c r="D130" s="340"/>
      <c r="E130" s="340"/>
      <c r="F130" s="340"/>
      <c r="G130" s="340"/>
    </row>
    <row r="131" spans="1:7">
      <c r="A131" s="340"/>
      <c r="B131" s="340"/>
      <c r="C131" s="340"/>
      <c r="D131" s="340"/>
      <c r="E131" s="340"/>
      <c r="F131" s="340"/>
      <c r="G131" s="340"/>
    </row>
    <row r="132" spans="1:7">
      <c r="A132" s="340"/>
      <c r="B132" s="340"/>
      <c r="C132" s="340"/>
      <c r="D132" s="340"/>
      <c r="E132" s="340"/>
      <c r="F132" s="340"/>
      <c r="G132" s="340"/>
    </row>
    <row r="133" spans="1:7">
      <c r="A133" s="340"/>
      <c r="B133" s="340"/>
      <c r="C133" s="340"/>
      <c r="D133" s="340"/>
      <c r="E133" s="340"/>
      <c r="F133" s="340"/>
      <c r="G133" s="340"/>
    </row>
    <row r="134" spans="1:7">
      <c r="A134" s="340"/>
      <c r="B134" s="340"/>
      <c r="C134" s="340"/>
      <c r="D134" s="340"/>
      <c r="E134" s="340"/>
      <c r="F134" s="340"/>
      <c r="G134" s="340"/>
    </row>
    <row r="135" spans="1:7">
      <c r="A135" s="340"/>
      <c r="B135" s="340"/>
      <c r="C135" s="340"/>
      <c r="D135" s="340"/>
      <c r="E135" s="340"/>
      <c r="F135" s="340"/>
      <c r="G135" s="340"/>
    </row>
    <row r="136" spans="1:7">
      <c r="A136" s="340"/>
      <c r="B136" s="340"/>
      <c r="C136" s="340"/>
      <c r="D136" s="340"/>
      <c r="E136" s="340"/>
      <c r="F136" s="340"/>
      <c r="G136" s="340"/>
    </row>
    <row r="137" spans="1:7">
      <c r="A137" s="340"/>
      <c r="B137" s="340"/>
      <c r="C137" s="340"/>
      <c r="D137" s="340"/>
      <c r="E137" s="340"/>
      <c r="F137" s="340"/>
      <c r="G137" s="340"/>
    </row>
    <row r="138" spans="1:7">
      <c r="A138" s="340"/>
      <c r="B138" s="340"/>
      <c r="C138" s="340"/>
      <c r="D138" s="340"/>
      <c r="E138" s="340"/>
      <c r="F138" s="340"/>
      <c r="G138" s="340"/>
    </row>
    <row r="139" spans="1:7">
      <c r="A139" s="340"/>
      <c r="B139" s="340"/>
      <c r="C139" s="340"/>
      <c r="D139" s="340"/>
      <c r="E139" s="340"/>
      <c r="F139" s="340"/>
      <c r="G139" s="340"/>
    </row>
    <row r="140" spans="1:7">
      <c r="A140" s="340"/>
      <c r="B140" s="340"/>
      <c r="C140" s="340"/>
      <c r="D140" s="340"/>
      <c r="E140" s="340"/>
      <c r="F140" s="340"/>
      <c r="G140" s="340"/>
    </row>
    <row r="141" spans="1:7">
      <c r="A141" s="340"/>
      <c r="B141" s="340"/>
      <c r="C141" s="340"/>
      <c r="D141" s="340"/>
      <c r="E141" s="340"/>
      <c r="F141" s="340"/>
      <c r="G141" s="340"/>
    </row>
    <row r="142" spans="1:7">
      <c r="A142" s="340"/>
      <c r="B142" s="340"/>
      <c r="C142" s="340"/>
      <c r="D142" s="340"/>
      <c r="E142" s="340"/>
      <c r="F142" s="340"/>
      <c r="G142" s="340"/>
    </row>
    <row r="143" spans="1:7">
      <c r="A143" s="340"/>
      <c r="B143" s="340"/>
      <c r="C143" s="340"/>
      <c r="D143" s="340"/>
      <c r="E143" s="340"/>
      <c r="F143" s="340"/>
      <c r="G143" s="340"/>
    </row>
    <row r="144" spans="1:7">
      <c r="A144" s="340"/>
      <c r="B144" s="340"/>
      <c r="C144" s="340"/>
      <c r="D144" s="340"/>
      <c r="E144" s="340"/>
      <c r="F144" s="340"/>
      <c r="G144" s="340"/>
    </row>
    <row r="145" spans="1:7">
      <c r="A145" s="340"/>
      <c r="B145" s="340"/>
      <c r="C145" s="340"/>
      <c r="D145" s="340"/>
      <c r="E145" s="340"/>
      <c r="F145" s="340"/>
      <c r="G145" s="340"/>
    </row>
    <row r="146" spans="1:7">
      <c r="A146" s="340"/>
      <c r="B146" s="340"/>
      <c r="C146" s="340"/>
      <c r="D146" s="340"/>
      <c r="E146" s="340"/>
      <c r="F146" s="340"/>
      <c r="G146" s="340"/>
    </row>
    <row r="147" spans="1:7">
      <c r="A147" s="340"/>
      <c r="B147" s="340"/>
      <c r="C147" s="340"/>
      <c r="D147" s="340"/>
      <c r="E147" s="340"/>
      <c r="F147" s="340"/>
      <c r="G147" s="340"/>
    </row>
    <row r="148" spans="1:7">
      <c r="A148" s="340"/>
      <c r="B148" s="340"/>
      <c r="C148" s="340"/>
      <c r="D148" s="340"/>
      <c r="E148" s="340"/>
      <c r="F148" s="340"/>
      <c r="G148" s="340"/>
    </row>
    <row r="149" spans="1:7">
      <c r="A149" s="340"/>
      <c r="B149" s="340"/>
      <c r="C149" s="340"/>
      <c r="D149" s="340"/>
      <c r="E149" s="340"/>
      <c r="F149" s="340"/>
      <c r="G149" s="340"/>
    </row>
    <row r="150" spans="1:7">
      <c r="A150" s="340"/>
      <c r="B150" s="340"/>
      <c r="C150" s="340"/>
      <c r="D150" s="340"/>
      <c r="E150" s="340"/>
      <c r="F150" s="340"/>
      <c r="G150" s="340"/>
    </row>
    <row r="151" spans="1:7">
      <c r="A151" s="340"/>
      <c r="B151" s="340"/>
      <c r="C151" s="340"/>
      <c r="D151" s="340"/>
      <c r="E151" s="340"/>
      <c r="F151" s="340"/>
      <c r="G151" s="340"/>
    </row>
    <row r="152" spans="1:7">
      <c r="A152" s="340"/>
      <c r="B152" s="340"/>
      <c r="C152" s="340"/>
      <c r="D152" s="340"/>
      <c r="E152" s="340"/>
      <c r="F152" s="340"/>
      <c r="G152" s="340"/>
    </row>
    <row r="153" spans="1:7">
      <c r="A153" s="340"/>
      <c r="B153" s="340"/>
      <c r="C153" s="340"/>
      <c r="D153" s="340"/>
      <c r="E153" s="340"/>
      <c r="F153" s="340"/>
      <c r="G153" s="340"/>
    </row>
    <row r="154" spans="1:7">
      <c r="A154" s="340"/>
      <c r="B154" s="340"/>
      <c r="C154" s="340"/>
      <c r="D154" s="340"/>
      <c r="E154" s="340"/>
      <c r="F154" s="340"/>
      <c r="G154" s="340"/>
    </row>
    <row r="155" spans="1:7">
      <c r="A155" s="340"/>
      <c r="B155" s="340"/>
      <c r="C155" s="340"/>
      <c r="D155" s="340"/>
      <c r="E155" s="340"/>
      <c r="F155" s="340"/>
      <c r="G155" s="340"/>
    </row>
    <row r="156" spans="1:7">
      <c r="A156" s="340"/>
      <c r="B156" s="340"/>
      <c r="C156" s="340"/>
      <c r="D156" s="340"/>
      <c r="E156" s="340"/>
      <c r="F156" s="340"/>
      <c r="G156" s="340"/>
    </row>
    <row r="157" spans="1:7">
      <c r="A157" s="340"/>
      <c r="B157" s="340"/>
      <c r="C157" s="340"/>
      <c r="D157" s="340"/>
      <c r="E157" s="340"/>
      <c r="F157" s="340"/>
      <c r="G157" s="340"/>
    </row>
    <row r="158" spans="1:7">
      <c r="A158" s="340"/>
      <c r="B158" s="340"/>
      <c r="C158" s="340"/>
      <c r="D158" s="340"/>
      <c r="E158" s="340"/>
      <c r="F158" s="340"/>
      <c r="G158" s="340"/>
    </row>
    <row r="159" spans="1:7">
      <c r="A159" s="340"/>
      <c r="B159" s="340"/>
      <c r="C159" s="340"/>
      <c r="D159" s="340"/>
      <c r="E159" s="340"/>
      <c r="F159" s="340"/>
      <c r="G159" s="340"/>
    </row>
    <row r="160" spans="1:7">
      <c r="A160" s="340"/>
      <c r="B160" s="340"/>
      <c r="C160" s="340"/>
      <c r="D160" s="340"/>
      <c r="E160" s="340"/>
      <c r="F160" s="340"/>
      <c r="G160" s="340"/>
    </row>
    <row r="161" spans="1:7">
      <c r="A161" s="340"/>
      <c r="B161" s="340"/>
      <c r="C161" s="340"/>
      <c r="D161" s="340"/>
      <c r="E161" s="340"/>
      <c r="F161" s="340"/>
      <c r="G161" s="340"/>
    </row>
    <row r="162" spans="1:7">
      <c r="A162" s="340"/>
      <c r="B162" s="340"/>
      <c r="C162" s="340"/>
      <c r="D162" s="340"/>
      <c r="E162" s="340"/>
      <c r="F162" s="340"/>
      <c r="G162" s="340"/>
    </row>
    <row r="163" spans="1:7">
      <c r="A163" s="340"/>
      <c r="B163" s="340"/>
      <c r="C163" s="340"/>
      <c r="D163" s="340"/>
      <c r="E163" s="340"/>
      <c r="F163" s="340"/>
      <c r="G163" s="340"/>
    </row>
    <row r="164" spans="1:7">
      <c r="A164" s="340"/>
      <c r="B164" s="340"/>
      <c r="C164" s="340"/>
      <c r="D164" s="340"/>
      <c r="E164" s="340"/>
      <c r="F164" s="340"/>
      <c r="G164" s="340"/>
    </row>
    <row r="165" spans="1:7">
      <c r="A165" s="340"/>
      <c r="B165" s="340"/>
      <c r="C165" s="340"/>
      <c r="D165" s="340"/>
      <c r="E165" s="340"/>
      <c r="F165" s="340"/>
      <c r="G165" s="340"/>
    </row>
    <row r="166" spans="1:7">
      <c r="A166" s="340"/>
      <c r="B166" s="340"/>
      <c r="C166" s="340"/>
      <c r="D166" s="340"/>
      <c r="E166" s="340"/>
      <c r="F166" s="340"/>
      <c r="G166" s="340"/>
    </row>
    <row r="167" spans="1:7">
      <c r="A167" s="340"/>
      <c r="B167" s="340"/>
      <c r="C167" s="340"/>
      <c r="D167" s="340"/>
      <c r="E167" s="340"/>
      <c r="F167" s="340"/>
      <c r="G167" s="340"/>
    </row>
    <row r="168" spans="1:7">
      <c r="A168" s="340"/>
      <c r="B168" s="340"/>
      <c r="C168" s="340"/>
      <c r="D168" s="340"/>
      <c r="E168" s="340"/>
      <c r="F168" s="340"/>
      <c r="G168" s="340"/>
    </row>
    <row r="169" spans="1:7">
      <c r="A169" s="340"/>
      <c r="B169" s="340"/>
      <c r="C169" s="340"/>
      <c r="D169" s="340"/>
      <c r="E169" s="340"/>
      <c r="F169" s="340"/>
      <c r="G169" s="340"/>
    </row>
    <row r="170" spans="1:7">
      <c r="A170" s="340"/>
      <c r="B170" s="340"/>
      <c r="C170" s="340"/>
      <c r="D170" s="340"/>
      <c r="E170" s="340"/>
      <c r="F170" s="340"/>
      <c r="G170" s="340"/>
    </row>
    <row r="171" spans="1:7">
      <c r="A171" s="340"/>
      <c r="B171" s="340"/>
      <c r="C171" s="340"/>
      <c r="D171" s="340"/>
      <c r="E171" s="340"/>
      <c r="F171" s="340"/>
      <c r="G171" s="340"/>
    </row>
    <row r="172" spans="1:7">
      <c r="A172" s="340"/>
      <c r="B172" s="340"/>
      <c r="C172" s="340"/>
      <c r="D172" s="340"/>
      <c r="E172" s="340"/>
      <c r="F172" s="340"/>
      <c r="G172" s="340"/>
    </row>
    <row r="173" spans="1:7">
      <c r="A173" s="340"/>
      <c r="B173" s="340"/>
      <c r="C173" s="340"/>
      <c r="D173" s="340"/>
      <c r="E173" s="340"/>
      <c r="F173" s="340"/>
      <c r="G173" s="340"/>
    </row>
    <row r="174" spans="1:7">
      <c r="A174" s="340"/>
      <c r="B174" s="340"/>
      <c r="C174" s="340"/>
      <c r="D174" s="340"/>
      <c r="E174" s="340"/>
      <c r="F174" s="340"/>
      <c r="G174" s="340"/>
    </row>
    <row r="175" spans="1:7">
      <c r="A175" s="340"/>
      <c r="B175" s="340"/>
      <c r="C175" s="340"/>
      <c r="D175" s="340"/>
      <c r="E175" s="340"/>
      <c r="F175" s="340"/>
      <c r="G175" s="340"/>
    </row>
    <row r="176" spans="1:7">
      <c r="A176" s="340"/>
      <c r="B176" s="340"/>
      <c r="C176" s="340"/>
      <c r="D176" s="340"/>
      <c r="E176" s="340"/>
      <c r="F176" s="340"/>
      <c r="G176" s="340"/>
    </row>
    <row r="177" spans="1:7">
      <c r="A177" s="340"/>
      <c r="B177" s="340"/>
      <c r="C177" s="340"/>
      <c r="D177" s="340"/>
      <c r="E177" s="340"/>
      <c r="F177" s="340"/>
      <c r="G177" s="340"/>
    </row>
    <row r="178" spans="1:7">
      <c r="A178" s="340"/>
      <c r="B178" s="340"/>
      <c r="C178" s="340"/>
      <c r="D178" s="340"/>
      <c r="E178" s="340"/>
      <c r="F178" s="340"/>
      <c r="G178" s="340"/>
    </row>
    <row r="179" spans="1:7">
      <c r="A179" s="340"/>
      <c r="B179" s="340"/>
      <c r="C179" s="340"/>
      <c r="D179" s="340"/>
      <c r="E179" s="340"/>
      <c r="F179" s="340"/>
      <c r="G179" s="340"/>
    </row>
    <row r="180" spans="1:7">
      <c r="A180" s="340"/>
      <c r="B180" s="340"/>
      <c r="C180" s="340"/>
      <c r="D180" s="340"/>
      <c r="E180" s="340"/>
      <c r="F180" s="340"/>
      <c r="G180" s="340"/>
    </row>
    <row r="181" spans="1:7">
      <c r="A181" s="340"/>
      <c r="B181" s="340"/>
      <c r="C181" s="340"/>
      <c r="D181" s="340"/>
      <c r="E181" s="340"/>
      <c r="F181" s="340"/>
      <c r="G181" s="340"/>
    </row>
    <row r="182" spans="1:7">
      <c r="A182" s="340"/>
      <c r="B182" s="340"/>
      <c r="C182" s="340"/>
      <c r="D182" s="340"/>
      <c r="E182" s="340"/>
      <c r="F182" s="340"/>
      <c r="G182" s="340"/>
    </row>
    <row r="183" spans="1:7">
      <c r="A183" s="340"/>
      <c r="B183" s="340"/>
      <c r="C183" s="340"/>
      <c r="D183" s="340"/>
      <c r="E183" s="340"/>
      <c r="F183" s="340"/>
      <c r="G183" s="340"/>
    </row>
    <row r="184" spans="1:7">
      <c r="A184" s="340"/>
      <c r="B184" s="340"/>
      <c r="C184" s="340"/>
      <c r="D184" s="340"/>
      <c r="E184" s="340"/>
      <c r="F184" s="340"/>
      <c r="G184" s="340"/>
    </row>
    <row r="185" spans="1:7">
      <c r="A185" s="340"/>
      <c r="B185" s="340"/>
      <c r="C185" s="340"/>
      <c r="D185" s="340"/>
      <c r="E185" s="340"/>
      <c r="F185" s="340"/>
      <c r="G185" s="340"/>
    </row>
    <row r="186" spans="1:7">
      <c r="A186" s="340"/>
      <c r="B186" s="340"/>
      <c r="C186" s="340"/>
      <c r="D186" s="340"/>
      <c r="E186" s="340"/>
      <c r="F186" s="340"/>
      <c r="G186" s="340"/>
    </row>
    <row r="187" spans="1:7">
      <c r="A187" s="340"/>
      <c r="B187" s="340"/>
      <c r="C187" s="340"/>
      <c r="D187" s="340"/>
      <c r="E187" s="340"/>
      <c r="F187" s="340"/>
      <c r="G187" s="340"/>
    </row>
    <row r="188" spans="1:7">
      <c r="A188" s="340"/>
      <c r="B188" s="340"/>
      <c r="C188" s="340"/>
      <c r="D188" s="340"/>
      <c r="E188" s="340"/>
      <c r="F188" s="340"/>
      <c r="G188" s="340"/>
    </row>
    <row r="189" spans="1:7">
      <c r="A189" s="340"/>
      <c r="B189" s="340"/>
      <c r="C189" s="340"/>
      <c r="D189" s="340"/>
      <c r="E189" s="340"/>
      <c r="F189" s="340"/>
      <c r="G189" s="340"/>
    </row>
    <row r="190" spans="1:7">
      <c r="A190" s="340"/>
      <c r="B190" s="340"/>
      <c r="C190" s="340"/>
      <c r="D190" s="340"/>
      <c r="E190" s="340"/>
      <c r="F190" s="340"/>
      <c r="G190" s="340"/>
    </row>
    <row r="191" spans="1:7">
      <c r="A191" s="340"/>
      <c r="B191" s="340"/>
      <c r="C191" s="340"/>
      <c r="D191" s="340"/>
      <c r="E191" s="340"/>
      <c r="F191" s="340"/>
      <c r="G191" s="340"/>
    </row>
    <row r="192" spans="1:7">
      <c r="A192" s="340"/>
      <c r="B192" s="340"/>
      <c r="C192" s="340"/>
      <c r="D192" s="340"/>
      <c r="E192" s="340"/>
      <c r="F192" s="340"/>
      <c r="G192" s="340"/>
    </row>
    <row r="193" spans="1:7">
      <c r="A193" s="340"/>
      <c r="B193" s="340"/>
      <c r="C193" s="340"/>
      <c r="D193" s="340"/>
      <c r="E193" s="340"/>
      <c r="F193" s="340"/>
      <c r="G193" s="340"/>
    </row>
    <row r="194" spans="1:7">
      <c r="A194" s="340"/>
      <c r="B194" s="340"/>
      <c r="C194" s="340"/>
      <c r="D194" s="340"/>
      <c r="E194" s="340"/>
      <c r="F194" s="340"/>
      <c r="G194" s="340"/>
    </row>
    <row r="195" spans="1:7">
      <c r="A195" s="340"/>
      <c r="B195" s="340"/>
      <c r="C195" s="340"/>
      <c r="D195" s="340"/>
      <c r="E195" s="340"/>
      <c r="F195" s="340"/>
      <c r="G195" s="340"/>
    </row>
    <row r="196" spans="1:7">
      <c r="A196" s="340"/>
      <c r="B196" s="340"/>
      <c r="C196" s="340"/>
      <c r="D196" s="340"/>
      <c r="E196" s="340"/>
      <c r="F196" s="340"/>
      <c r="G196" s="340"/>
    </row>
    <row r="197" spans="1:7">
      <c r="A197" s="340"/>
      <c r="B197" s="340"/>
      <c r="C197" s="340"/>
      <c r="D197" s="340"/>
      <c r="E197" s="340"/>
      <c r="F197" s="340"/>
      <c r="G197" s="340"/>
    </row>
    <row r="198" spans="1:7">
      <c r="A198" s="340"/>
      <c r="B198" s="340"/>
      <c r="C198" s="340"/>
      <c r="D198" s="340"/>
      <c r="E198" s="340"/>
      <c r="F198" s="340"/>
      <c r="G198" s="340"/>
    </row>
    <row r="199" spans="1:7">
      <c r="A199" s="340"/>
      <c r="B199" s="340"/>
      <c r="C199" s="340"/>
      <c r="D199" s="340"/>
      <c r="E199" s="340"/>
      <c r="F199" s="340"/>
      <c r="G199" s="340"/>
    </row>
    <row r="200" spans="1:7">
      <c r="A200" s="340"/>
      <c r="B200" s="340"/>
      <c r="C200" s="340"/>
      <c r="D200" s="340"/>
      <c r="E200" s="340"/>
      <c r="F200" s="340"/>
      <c r="G200" s="340"/>
    </row>
    <row r="201" spans="1:7">
      <c r="A201" s="340"/>
      <c r="B201" s="340"/>
      <c r="C201" s="340"/>
      <c r="D201" s="340"/>
      <c r="E201" s="340"/>
      <c r="F201" s="340"/>
      <c r="G201" s="340"/>
    </row>
    <row r="202" spans="1:7">
      <c r="A202" s="340"/>
      <c r="B202" s="340"/>
      <c r="C202" s="340"/>
      <c r="D202" s="340"/>
      <c r="E202" s="340"/>
      <c r="F202" s="340"/>
      <c r="G202" s="340"/>
    </row>
    <row r="203" spans="1:7">
      <c r="A203" s="340"/>
      <c r="B203" s="340"/>
      <c r="C203" s="340"/>
      <c r="D203" s="340"/>
      <c r="E203" s="340"/>
      <c r="F203" s="340"/>
      <c r="G203" s="340"/>
    </row>
    <row r="204" spans="1:7">
      <c r="A204" s="340"/>
      <c r="B204" s="340"/>
      <c r="C204" s="340"/>
      <c r="D204" s="340"/>
      <c r="E204" s="340"/>
      <c r="F204" s="340"/>
      <c r="G204" s="340"/>
    </row>
    <row r="205" spans="1:7">
      <c r="A205" s="340"/>
      <c r="B205" s="340"/>
      <c r="C205" s="340"/>
      <c r="D205" s="340"/>
      <c r="E205" s="340"/>
      <c r="F205" s="340"/>
      <c r="G205" s="340"/>
    </row>
    <row r="206" spans="1:7">
      <c r="A206" s="340"/>
      <c r="B206" s="340"/>
      <c r="C206" s="340"/>
      <c r="D206" s="340"/>
      <c r="E206" s="340"/>
      <c r="F206" s="340"/>
      <c r="G206" s="340"/>
    </row>
    <row r="207" spans="1:7">
      <c r="A207" s="340"/>
      <c r="B207" s="340"/>
      <c r="C207" s="340"/>
      <c r="D207" s="340"/>
      <c r="E207" s="340"/>
      <c r="F207" s="340"/>
      <c r="G207" s="340"/>
    </row>
    <row r="208" spans="1:7">
      <c r="A208" s="340"/>
      <c r="B208" s="340"/>
      <c r="C208" s="340"/>
      <c r="D208" s="340"/>
      <c r="E208" s="340"/>
      <c r="F208" s="340"/>
      <c r="G208" s="340"/>
    </row>
    <row r="209" spans="1:7">
      <c r="A209" s="340"/>
      <c r="B209" s="340"/>
      <c r="C209" s="340"/>
      <c r="D209" s="340"/>
      <c r="E209" s="340"/>
      <c r="F209" s="340"/>
      <c r="G209" s="340"/>
    </row>
    <row r="210" spans="1:7">
      <c r="A210" s="340"/>
      <c r="B210" s="340"/>
      <c r="C210" s="340"/>
      <c r="D210" s="340"/>
      <c r="E210" s="340"/>
      <c r="F210" s="340"/>
      <c r="G210" s="340"/>
    </row>
    <row r="211" spans="1:7">
      <c r="A211" s="340"/>
      <c r="B211" s="340"/>
      <c r="C211" s="340"/>
      <c r="D211" s="340"/>
      <c r="E211" s="340"/>
      <c r="F211" s="340"/>
      <c r="G211" s="340"/>
    </row>
    <row r="212" spans="1:7">
      <c r="A212" s="340"/>
      <c r="B212" s="340"/>
      <c r="C212" s="340"/>
      <c r="D212" s="340"/>
      <c r="E212" s="340"/>
      <c r="F212" s="340"/>
      <c r="G212" s="340"/>
    </row>
    <row r="213" spans="1:7">
      <c r="A213" s="340"/>
      <c r="B213" s="340"/>
      <c r="C213" s="340"/>
      <c r="D213" s="340"/>
      <c r="E213" s="340"/>
      <c r="F213" s="340"/>
      <c r="G213" s="340"/>
    </row>
    <row r="214" spans="1:7">
      <c r="A214" s="340"/>
      <c r="B214" s="340"/>
      <c r="C214" s="340"/>
      <c r="D214" s="340"/>
      <c r="E214" s="340"/>
      <c r="F214" s="340"/>
      <c r="G214" s="340"/>
    </row>
    <row r="215" spans="1:7">
      <c r="A215" s="340"/>
      <c r="B215" s="340"/>
      <c r="C215" s="340"/>
      <c r="D215" s="340"/>
      <c r="E215" s="340"/>
      <c r="F215" s="340"/>
      <c r="G215" s="340"/>
    </row>
    <row r="216" spans="1:7">
      <c r="A216" s="340"/>
      <c r="B216" s="340"/>
      <c r="C216" s="340"/>
      <c r="D216" s="340"/>
      <c r="E216" s="340"/>
      <c r="F216" s="340"/>
      <c r="G216" s="340"/>
    </row>
    <row r="217" spans="1:7">
      <c r="A217" s="340"/>
      <c r="B217" s="340"/>
      <c r="C217" s="340"/>
      <c r="D217" s="340"/>
      <c r="E217" s="340"/>
      <c r="F217" s="340"/>
      <c r="G217" s="340"/>
    </row>
    <row r="218" spans="1:7">
      <c r="A218" s="340"/>
      <c r="B218" s="340"/>
      <c r="C218" s="340"/>
      <c r="D218" s="340"/>
      <c r="E218" s="340"/>
      <c r="F218" s="340"/>
      <c r="G218" s="340"/>
    </row>
    <row r="219" spans="1:7">
      <c r="A219" s="340"/>
      <c r="B219" s="340"/>
      <c r="C219" s="340"/>
      <c r="D219" s="340"/>
      <c r="E219" s="340"/>
      <c r="F219" s="340"/>
      <c r="G219" s="340"/>
    </row>
    <row r="220" spans="1:7">
      <c r="A220" s="340"/>
      <c r="B220" s="340"/>
      <c r="C220" s="340"/>
      <c r="D220" s="340"/>
      <c r="E220" s="340"/>
      <c r="F220" s="340"/>
      <c r="G220" s="340"/>
    </row>
    <row r="221" spans="1:7">
      <c r="A221" s="340"/>
      <c r="B221" s="340"/>
      <c r="C221" s="340"/>
      <c r="D221" s="340"/>
      <c r="E221" s="340"/>
      <c r="F221" s="340"/>
      <c r="G221" s="340"/>
    </row>
    <row r="222" spans="1:7">
      <c r="A222" s="340"/>
      <c r="B222" s="340"/>
      <c r="C222" s="340"/>
      <c r="D222" s="340"/>
      <c r="E222" s="340"/>
      <c r="F222" s="340"/>
      <c r="G222" s="340"/>
    </row>
    <row r="223" spans="1:7">
      <c r="A223" s="340"/>
      <c r="B223" s="340"/>
      <c r="C223" s="340"/>
      <c r="D223" s="340"/>
      <c r="E223" s="340"/>
      <c r="F223" s="340"/>
      <c r="G223" s="340"/>
    </row>
    <row r="224" spans="1:7">
      <c r="A224" s="340"/>
      <c r="B224" s="340"/>
      <c r="C224" s="340"/>
      <c r="D224" s="340"/>
      <c r="E224" s="340"/>
      <c r="F224" s="340"/>
      <c r="G224" s="340"/>
    </row>
    <row r="225" spans="1:7">
      <c r="A225" s="340"/>
      <c r="B225" s="340"/>
      <c r="C225" s="340"/>
      <c r="D225" s="340"/>
      <c r="E225" s="340"/>
      <c r="F225" s="340"/>
      <c r="G225" s="340"/>
    </row>
    <row r="226" spans="1:7">
      <c r="A226" s="340"/>
      <c r="B226" s="340"/>
      <c r="C226" s="340"/>
      <c r="D226" s="340"/>
      <c r="E226" s="340"/>
      <c r="F226" s="340"/>
      <c r="G226" s="340"/>
    </row>
    <row r="227" spans="1:7">
      <c r="A227" s="340"/>
      <c r="B227" s="340"/>
      <c r="C227" s="340"/>
      <c r="D227" s="340"/>
      <c r="E227" s="340"/>
      <c r="F227" s="340"/>
      <c r="G227" s="340"/>
    </row>
    <row r="228" spans="1:7">
      <c r="A228" s="340"/>
      <c r="B228" s="340"/>
      <c r="C228" s="340"/>
      <c r="D228" s="340"/>
      <c r="E228" s="340"/>
      <c r="F228" s="340"/>
      <c r="G228" s="340"/>
    </row>
    <row r="229" spans="1:7">
      <c r="A229" s="340"/>
      <c r="B229" s="340"/>
      <c r="C229" s="340"/>
      <c r="D229" s="340"/>
      <c r="E229" s="340"/>
      <c r="F229" s="340"/>
      <c r="G229" s="340"/>
    </row>
    <row r="230" spans="1:7">
      <c r="A230" s="340"/>
      <c r="B230" s="340"/>
      <c r="C230" s="340"/>
      <c r="D230" s="340"/>
      <c r="E230" s="340"/>
      <c r="F230" s="340"/>
      <c r="G230" s="340"/>
    </row>
    <row r="231" spans="1:7">
      <c r="A231" s="340"/>
      <c r="B231" s="340"/>
      <c r="C231" s="340"/>
      <c r="D231" s="340"/>
      <c r="E231" s="340"/>
      <c r="F231" s="340"/>
      <c r="G231" s="340"/>
    </row>
    <row r="232" spans="1:7">
      <c r="A232" s="340"/>
      <c r="B232" s="340"/>
      <c r="C232" s="340"/>
      <c r="D232" s="340"/>
      <c r="E232" s="340"/>
      <c r="F232" s="340"/>
      <c r="G232" s="340"/>
    </row>
    <row r="233" spans="1:7">
      <c r="A233" s="340"/>
      <c r="B233" s="340"/>
      <c r="C233" s="340"/>
      <c r="D233" s="340"/>
      <c r="E233" s="340"/>
      <c r="F233" s="340"/>
      <c r="G233" s="340"/>
    </row>
    <row r="234" spans="1:7">
      <c r="A234" s="340"/>
      <c r="B234" s="340"/>
      <c r="C234" s="340"/>
      <c r="D234" s="340"/>
      <c r="E234" s="340"/>
      <c r="F234" s="340"/>
      <c r="G234" s="340"/>
    </row>
    <row r="235" spans="1:7">
      <c r="A235" s="340"/>
      <c r="B235" s="340"/>
      <c r="C235" s="340"/>
      <c r="D235" s="340"/>
      <c r="E235" s="340"/>
      <c r="F235" s="340"/>
      <c r="G235" s="340"/>
    </row>
    <row r="236" spans="1:7">
      <c r="A236" s="340"/>
      <c r="B236" s="340"/>
      <c r="C236" s="340"/>
      <c r="D236" s="340"/>
      <c r="E236" s="340"/>
      <c r="F236" s="340"/>
      <c r="G236" s="340"/>
    </row>
    <row r="237" spans="1:7">
      <c r="A237" s="340"/>
      <c r="B237" s="340"/>
      <c r="C237" s="340"/>
      <c r="D237" s="340"/>
      <c r="E237" s="340"/>
      <c r="F237" s="340"/>
      <c r="G237" s="340"/>
    </row>
    <row r="238" spans="1:7">
      <c r="A238" s="340"/>
      <c r="B238" s="340"/>
      <c r="C238" s="340"/>
      <c r="D238" s="340"/>
      <c r="E238" s="340"/>
      <c r="F238" s="340"/>
      <c r="G238" s="340"/>
    </row>
    <row r="239" spans="1:7">
      <c r="A239" s="340"/>
      <c r="B239" s="340"/>
      <c r="C239" s="340"/>
      <c r="D239" s="340"/>
      <c r="E239" s="340"/>
      <c r="F239" s="340"/>
      <c r="G239" s="340"/>
    </row>
    <row r="240" spans="1:7">
      <c r="A240" s="340"/>
      <c r="B240" s="340"/>
      <c r="C240" s="340"/>
      <c r="D240" s="340"/>
      <c r="E240" s="340"/>
      <c r="F240" s="340"/>
      <c r="G240" s="340"/>
    </row>
    <row r="241" spans="1:7">
      <c r="A241" s="340"/>
      <c r="B241" s="340"/>
      <c r="C241" s="340"/>
      <c r="D241" s="340"/>
      <c r="E241" s="340"/>
      <c r="F241" s="340"/>
      <c r="G241" s="340"/>
    </row>
    <row r="242" spans="1:7">
      <c r="A242" s="340"/>
      <c r="B242" s="340"/>
      <c r="C242" s="340"/>
      <c r="D242" s="340"/>
      <c r="E242" s="340"/>
      <c r="F242" s="340"/>
      <c r="G242" s="340"/>
    </row>
    <row r="243" spans="1:7">
      <c r="A243" s="340"/>
      <c r="B243" s="340"/>
      <c r="C243" s="340"/>
      <c r="D243" s="340"/>
      <c r="E243" s="340"/>
      <c r="F243" s="340"/>
      <c r="G243" s="340"/>
    </row>
    <row r="244" spans="1:7">
      <c r="A244" s="340"/>
      <c r="B244" s="340"/>
      <c r="C244" s="340"/>
      <c r="D244" s="340"/>
      <c r="E244" s="340"/>
      <c r="F244" s="340"/>
      <c r="G244" s="340"/>
    </row>
  </sheetData>
  <sheetProtection password="C3C4" sheet="1" objects="1" scenarios="1"/>
  <dataValidations count="1">
    <dataValidation type="whole" allowBlank="1" showInputMessage="1" showErrorMessage="1" errorTitle="Data Validation" error="Please enter a whole number between 0 and 2147483647." sqref="E5:G5 B5:B44 E20:G34 C35:G44" xr:uid="{3D82DD74-D293-4162-91AA-AE4A43792D34}">
      <formula1>0</formula1>
      <formula2>2147483647</formula2>
    </dataValidation>
  </dataValidations>
  <pageMargins left="0.7" right="0.7" top="0.75" bottom="0.75" header="0.3" footer="0.3"/>
  <ignoredErrors>
    <ignoredError sqref="B35:H45" unlockedFormula="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74DE5-F163-4907-A7C4-9CCD1E621ED0}">
  <sheetPr>
    <tabColor theme="8" tint="0.39997558519241921"/>
  </sheetPr>
  <dimension ref="A1:F181"/>
  <sheetViews>
    <sheetView topLeftCell="A13" workbookViewId="0">
      <selection activeCell="H9" sqref="H9"/>
    </sheetView>
  </sheetViews>
  <sheetFormatPr defaultColWidth="8.88671875" defaultRowHeight="13.2"/>
  <cols>
    <col min="1" max="1" width="22.88671875" style="15" customWidth="1"/>
    <col min="2" max="6" width="15.6640625" style="15" customWidth="1"/>
    <col min="7" max="16384" width="8.88671875" style="15"/>
  </cols>
  <sheetData>
    <row r="1" spans="1:6">
      <c r="A1" s="384"/>
      <c r="B1" s="385"/>
      <c r="C1" s="385"/>
      <c r="D1" s="385"/>
      <c r="E1" s="385"/>
    </row>
    <row r="2" spans="1:6">
      <c r="A2" s="398" t="s">
        <v>1420</v>
      </c>
      <c r="B2" s="386"/>
      <c r="C2" s="386"/>
      <c r="D2" s="386"/>
      <c r="E2" s="386"/>
    </row>
    <row r="3" spans="1:6">
      <c r="A3" s="387"/>
      <c r="B3" s="388"/>
      <c r="C3" s="388"/>
      <c r="D3" s="388"/>
      <c r="E3" s="388"/>
    </row>
    <row r="4" spans="1:6" ht="26.4">
      <c r="A4" s="395" t="s">
        <v>1421</v>
      </c>
      <c r="B4" s="395" t="s">
        <v>186</v>
      </c>
      <c r="C4" s="395" t="s">
        <v>1448</v>
      </c>
      <c r="D4" s="395" t="s">
        <v>1452</v>
      </c>
      <c r="E4" s="395" t="s">
        <v>189</v>
      </c>
      <c r="F4" s="395" t="s">
        <v>210</v>
      </c>
    </row>
    <row r="5" spans="1:6">
      <c r="A5" s="389" t="s">
        <v>369</v>
      </c>
      <c r="B5" s="486">
        <f>'III-B - #11619'!C11</f>
        <v>0</v>
      </c>
      <c r="C5" s="391"/>
      <c r="D5" s="391"/>
      <c r="E5" s="391"/>
      <c r="F5" s="487">
        <f>'180B IIIB'!I5+'180B IIIC1'!J5+'180B IIIC2'!J5+'180B IIID'!I5</f>
        <v>0</v>
      </c>
    </row>
    <row r="6" spans="1:6">
      <c r="A6" s="389" t="s">
        <v>377</v>
      </c>
      <c r="B6" s="486">
        <f>'III-B - #11619'!C12</f>
        <v>0</v>
      </c>
      <c r="C6" s="391"/>
      <c r="D6" s="391"/>
      <c r="E6" s="391"/>
      <c r="F6" s="487">
        <f>'180B IIIB'!I6+'180B IIIC1'!J6+'180B IIIC2'!J6+'180B IIID'!I6</f>
        <v>0</v>
      </c>
    </row>
    <row r="7" spans="1:6">
      <c r="A7" s="389" t="s">
        <v>385</v>
      </c>
      <c r="B7" s="486">
        <f>'III-B - #11619'!C13</f>
        <v>0</v>
      </c>
      <c r="C7" s="391"/>
      <c r="D7" s="391"/>
      <c r="E7" s="391"/>
      <c r="F7" s="487">
        <f>'180B IIIB'!I7+'180B IIIC1'!J7+'180B IIIC2'!J7+'180B IIID'!I7</f>
        <v>0</v>
      </c>
    </row>
    <row r="8" spans="1:6">
      <c r="A8" s="484" t="s">
        <v>1428</v>
      </c>
      <c r="B8" s="488"/>
      <c r="C8" s="391"/>
      <c r="D8" s="494">
        <f>'III-C2 - #12119'!F14</f>
        <v>0</v>
      </c>
      <c r="E8" s="391"/>
      <c r="F8" s="487">
        <f>'180B IIIB'!I8+'180B IIIC1'!J8+'180B IIIC2'!J8+'180B IIID'!I8</f>
        <v>0</v>
      </c>
    </row>
    <row r="9" spans="1:6">
      <c r="A9" s="389" t="s">
        <v>416</v>
      </c>
      <c r="B9" s="486">
        <f>'III-B - #11619'!C15</f>
        <v>0</v>
      </c>
      <c r="C9" s="391"/>
      <c r="D9" s="491"/>
      <c r="E9" s="391"/>
      <c r="F9" s="487">
        <f>'180B IIIB'!I9+'180B IIIC1'!J9+'180B IIIC2'!J9+'180B IIID'!I9</f>
        <v>0</v>
      </c>
    </row>
    <row r="10" spans="1:6">
      <c r="A10" s="389" t="s">
        <v>420</v>
      </c>
      <c r="B10" s="486">
        <f>'III-B - #11619'!C16</f>
        <v>0</v>
      </c>
      <c r="C10" s="391"/>
      <c r="D10" s="491"/>
      <c r="E10" s="391"/>
      <c r="F10" s="487">
        <f>'180B IIIB'!I10+'180B IIIC1'!J10+'180B IIIC2'!J10+'180B IIID'!I10</f>
        <v>0</v>
      </c>
    </row>
    <row r="11" spans="1:6">
      <c r="A11" s="484" t="s">
        <v>422</v>
      </c>
      <c r="B11" s="488"/>
      <c r="C11" s="494">
        <f>'III-C 1 - #12019'!D17</f>
        <v>0</v>
      </c>
      <c r="D11" s="491"/>
      <c r="E11" s="391"/>
      <c r="F11" s="487">
        <f>'180B IIIB'!I11+'180B IIIC1'!J11+'180B IIIC2'!J11+'180B IIID'!I11</f>
        <v>0</v>
      </c>
    </row>
    <row r="12" spans="1:6">
      <c r="A12" s="389" t="s">
        <v>1429</v>
      </c>
      <c r="B12" s="486">
        <f>'III-B - #11619'!C18</f>
        <v>0</v>
      </c>
      <c r="C12" s="494">
        <f>'III-C 1 - #12019'!D18</f>
        <v>0</v>
      </c>
      <c r="D12" s="494">
        <f>'III-C2 - #12119'!F18</f>
        <v>0</v>
      </c>
      <c r="E12" s="391"/>
      <c r="F12" s="487">
        <f>'180B IIIB'!I12+'180B IIIC1'!J12+'180B IIIC2'!J12+'180B IIID'!I12</f>
        <v>0</v>
      </c>
    </row>
    <row r="13" spans="1:6" ht="25.2" customHeight="1">
      <c r="A13" s="389" t="s">
        <v>1430</v>
      </c>
      <c r="B13" s="486">
        <f>'III-B - #11619'!C19</f>
        <v>0</v>
      </c>
      <c r="C13" s="491"/>
      <c r="D13" s="491"/>
      <c r="E13" s="391"/>
      <c r="F13" s="487">
        <f>'180B IIIB'!I13+'180B IIIC1'!J13+'180B IIIC2'!J13+'180B IIID'!I13</f>
        <v>0</v>
      </c>
    </row>
    <row r="14" spans="1:6">
      <c r="A14" s="389" t="s">
        <v>490</v>
      </c>
      <c r="B14" s="486">
        <f>'III-B - #11619'!C20</f>
        <v>0</v>
      </c>
      <c r="C14" s="491"/>
      <c r="D14" s="491"/>
      <c r="E14" s="391"/>
      <c r="F14" s="487">
        <f>'180B IIIB'!I14+'180B IIIC1'!J14+'180B IIIC2'!J14+'180B IIID'!I14</f>
        <v>0</v>
      </c>
    </row>
    <row r="15" spans="1:6">
      <c r="A15" s="389" t="s">
        <v>1431</v>
      </c>
      <c r="B15" s="486">
        <f>'III-B - #11619'!C21</f>
        <v>0</v>
      </c>
      <c r="C15" s="491"/>
      <c r="D15" s="491"/>
      <c r="E15" s="391"/>
      <c r="F15" s="487">
        <f>'180B IIIB'!I15+'180B IIIC1'!J15+'180B IIIC2'!J15+'180B IIID'!I15</f>
        <v>0</v>
      </c>
    </row>
    <row r="16" spans="1:6">
      <c r="A16" s="389" t="s">
        <v>1432</v>
      </c>
      <c r="B16" s="486">
        <f>'III-B - #11619'!C22</f>
        <v>0</v>
      </c>
      <c r="C16" s="494">
        <f>'III-C 1 - #12019'!D22</f>
        <v>0</v>
      </c>
      <c r="D16" s="494">
        <f>'III-C2 - #12119'!F22</f>
        <v>0</v>
      </c>
      <c r="E16" s="391"/>
      <c r="F16" s="487">
        <f>'180B IIIB'!I16+'180B IIIC1'!J16+'180B IIIC2'!J16+'180B IIID'!I16</f>
        <v>0</v>
      </c>
    </row>
    <row r="17" spans="1:6" ht="26.4">
      <c r="A17" s="389" t="s">
        <v>518</v>
      </c>
      <c r="B17" s="486">
        <f>'III-B - #11619'!C23</f>
        <v>0</v>
      </c>
      <c r="C17" s="391"/>
      <c r="D17" s="391"/>
      <c r="E17" s="391"/>
      <c r="F17" s="487">
        <f>'180B IIIB'!I17+'180B IIIC1'!J17+'180B IIIC2'!J17+'180B IIID'!I17</f>
        <v>0</v>
      </c>
    </row>
    <row r="18" spans="1:6" ht="26.4">
      <c r="A18" s="389" t="s">
        <v>1433</v>
      </c>
      <c r="B18" s="486">
        <f>'III-B Other Services'!C17</f>
        <v>0</v>
      </c>
      <c r="C18" s="391"/>
      <c r="D18" s="391"/>
      <c r="E18" s="494">
        <f>'III-D - #12419'!H26</f>
        <v>0</v>
      </c>
      <c r="F18" s="487">
        <f>'180B IIIB'!I18+'180B IIIC1'!J18+'180B IIIC2'!J18+'180B IIID'!I18</f>
        <v>0</v>
      </c>
    </row>
    <row r="19" spans="1:6" ht="26.4">
      <c r="A19" s="389" t="s">
        <v>1434</v>
      </c>
      <c r="B19" s="486">
        <f>'III-B Other Services'!C18</f>
        <v>0</v>
      </c>
      <c r="C19" s="391"/>
      <c r="D19" s="391"/>
      <c r="E19" s="391"/>
      <c r="F19" s="487">
        <f>'180B IIIB'!I19+'180B IIIC1'!J19+'180B IIIC2'!J19+'180B IIID'!I19</f>
        <v>0</v>
      </c>
    </row>
    <row r="20" spans="1:6">
      <c r="A20" s="389" t="s">
        <v>1435</v>
      </c>
      <c r="B20" s="486">
        <f>'III-B - #11619'!C24</f>
        <v>0</v>
      </c>
      <c r="C20" s="391"/>
      <c r="D20" s="391"/>
      <c r="E20" s="391"/>
      <c r="F20" s="487">
        <f>'180B IIIB'!I20+'180B IIIC1'!J20+'180B IIIC2'!J20+'180B IIID'!I20</f>
        <v>0</v>
      </c>
    </row>
    <row r="21" spans="1:6">
      <c r="A21" s="389" t="s">
        <v>1436</v>
      </c>
      <c r="B21" s="486">
        <f>'III-B Other Services'!C10</f>
        <v>0</v>
      </c>
      <c r="C21" s="391"/>
      <c r="D21" s="391"/>
      <c r="E21" s="391"/>
      <c r="F21" s="487">
        <f>'180B IIIB'!I21+'180B IIIC1'!J21+'180B IIIC2'!J21+'180B IIID'!I21</f>
        <v>0</v>
      </c>
    </row>
    <row r="22" spans="1:6">
      <c r="A22" s="389" t="s">
        <v>583</v>
      </c>
      <c r="B22" s="486">
        <f>'III-B Other Services'!C11</f>
        <v>0</v>
      </c>
      <c r="C22" s="391"/>
      <c r="D22" s="391"/>
      <c r="E22" s="391"/>
      <c r="F22" s="487">
        <f>'180B IIIB'!I22+'180B IIIC1'!J22+'180B IIIC2'!J22+'180B IIID'!I22</f>
        <v>0</v>
      </c>
    </row>
    <row r="23" spans="1:6">
      <c r="A23" s="389" t="s">
        <v>587</v>
      </c>
      <c r="B23" s="486">
        <f>'III-B Other Services'!C12</f>
        <v>0</v>
      </c>
      <c r="C23" s="391"/>
      <c r="D23" s="391"/>
      <c r="E23" s="391"/>
      <c r="F23" s="487">
        <f>'180B IIIB'!I23+'180B IIIC1'!J23+'180B IIIC2'!J23+'180B IIID'!I23</f>
        <v>0</v>
      </c>
    </row>
    <row r="24" spans="1:6">
      <c r="A24" s="389" t="s">
        <v>808</v>
      </c>
      <c r="B24" s="486">
        <f>'III-B Other Services'!C24</f>
        <v>0</v>
      </c>
      <c r="C24" s="391"/>
      <c r="D24" s="391"/>
      <c r="E24" s="391"/>
      <c r="F24" s="487">
        <f>'180B IIIB'!I24+'180B IIIC1'!J24+'180B IIIC2'!J24+'180B IIID'!I24</f>
        <v>0</v>
      </c>
    </row>
    <row r="25" spans="1:6" ht="26.4">
      <c r="A25" s="389" t="s">
        <v>593</v>
      </c>
      <c r="B25" s="486">
        <f>'III-B Other Services'!C13</f>
        <v>0</v>
      </c>
      <c r="C25" s="391"/>
      <c r="D25" s="391"/>
      <c r="E25" s="391"/>
      <c r="F25" s="487">
        <f>'180B IIIB'!I25+'180B IIIC1'!J25+'180B IIIC2'!J25+'180B IIID'!I25</f>
        <v>0</v>
      </c>
    </row>
    <row r="26" spans="1:6" ht="26.4">
      <c r="A26" s="389" t="s">
        <v>1437</v>
      </c>
      <c r="B26" s="486">
        <f>'III-B Other Services'!C14</f>
        <v>0</v>
      </c>
      <c r="C26" s="391"/>
      <c r="D26" s="391"/>
      <c r="E26" s="391"/>
      <c r="F26" s="487">
        <f>'180B IIIB'!I26+'180B IIIC1'!J26+'180B IIIC2'!J26+'180B IIID'!I26</f>
        <v>0</v>
      </c>
    </row>
    <row r="27" spans="1:6" ht="26.4">
      <c r="A27" s="389" t="s">
        <v>601</v>
      </c>
      <c r="B27" s="486">
        <f>'III-B Other Services'!C15</f>
        <v>0</v>
      </c>
      <c r="C27" s="391"/>
      <c r="D27" s="391"/>
      <c r="E27" s="391"/>
      <c r="F27" s="487">
        <f>'180B IIIB'!I27+'180B IIIC1'!J27+'180B IIIC2'!J27+'180B IIID'!I27</f>
        <v>0</v>
      </c>
    </row>
    <row r="28" spans="1:6">
      <c r="A28" s="389" t="s">
        <v>1438</v>
      </c>
      <c r="B28" s="486">
        <f>'III-B Other Services'!C16</f>
        <v>0</v>
      </c>
      <c r="C28" s="390"/>
      <c r="D28" s="390"/>
      <c r="E28" s="390"/>
      <c r="F28" s="487">
        <f>'180B IIIB'!I28+'180B IIIC1'!J28+'180B IIIC2'!J28+'180B IIID'!I28</f>
        <v>0</v>
      </c>
    </row>
    <row r="29" spans="1:6" ht="26.4">
      <c r="A29" s="389" t="s">
        <v>759</v>
      </c>
      <c r="B29" s="486">
        <f>'III-B Other Services'!C19</f>
        <v>0</v>
      </c>
      <c r="C29" s="391"/>
      <c r="D29" s="391"/>
      <c r="E29" s="391"/>
      <c r="F29" s="487">
        <f>'180B IIIB'!I29+'180B IIIC1'!J29+'180B IIIC2'!J29+'180B IIID'!I29</f>
        <v>0</v>
      </c>
    </row>
    <row r="30" spans="1:6" ht="26.4">
      <c r="A30" s="483" t="s">
        <v>1439</v>
      </c>
      <c r="B30" s="488"/>
      <c r="C30" s="391"/>
      <c r="D30" s="391"/>
      <c r="E30" s="391"/>
      <c r="F30" s="487">
        <f>'180B IIIB'!I30+'180B IIIC1'!J30+'180B IIIC2'!J30+'180B IIID'!I30</f>
        <v>0</v>
      </c>
    </row>
    <row r="31" spans="1:6">
      <c r="A31" s="389" t="s">
        <v>776</v>
      </c>
      <c r="B31" s="486">
        <f>'III-B Other Services'!C20</f>
        <v>0</v>
      </c>
      <c r="C31" s="391"/>
      <c r="D31" s="391"/>
      <c r="E31" s="391"/>
      <c r="F31" s="487">
        <f>'180B IIIB'!I31+'180B IIIC1'!J31+'180B IIIC2'!J31+'180B IIID'!I31</f>
        <v>0</v>
      </c>
    </row>
    <row r="32" spans="1:6" ht="26.4">
      <c r="A32" s="389" t="s">
        <v>780</v>
      </c>
      <c r="B32" s="486">
        <f>'III-B Other Services'!C21</f>
        <v>0</v>
      </c>
      <c r="C32" s="391"/>
      <c r="D32" s="391"/>
      <c r="E32" s="391"/>
      <c r="F32" s="487">
        <f>'180B IIIB'!I32+'180B IIIC1'!J32+'180B IIIC2'!J32+'180B IIID'!I32</f>
        <v>0</v>
      </c>
    </row>
    <row r="33" spans="1:6" ht="26.4">
      <c r="A33" s="389" t="s">
        <v>782</v>
      </c>
      <c r="B33" s="486">
        <f>'III-B Other Services'!C22</f>
        <v>0</v>
      </c>
      <c r="C33" s="391"/>
      <c r="D33" s="391"/>
      <c r="E33" s="391"/>
      <c r="F33" s="487">
        <f>'180B IIIB'!I33+'180B IIIC1'!J33+'180B IIIC2'!J33+'180B IIID'!I33</f>
        <v>0</v>
      </c>
    </row>
    <row r="34" spans="1:6" ht="26.4">
      <c r="A34" s="389" t="s">
        <v>1440</v>
      </c>
      <c r="B34" s="486">
        <f>'III-B Other Services'!C23</f>
        <v>0</v>
      </c>
      <c r="C34" s="391"/>
      <c r="D34" s="391"/>
      <c r="E34" s="391"/>
      <c r="F34" s="487">
        <f>'180B IIIB'!I34+'180B IIIC1'!J34+'180B IIIC2'!J34+'180B IIID'!I34</f>
        <v>0</v>
      </c>
    </row>
    <row r="35" spans="1:6">
      <c r="A35" s="389" t="s">
        <v>1441</v>
      </c>
      <c r="B35" s="486">
        <f>'III-B Other Services'!C25</f>
        <v>0</v>
      </c>
      <c r="C35" s="391"/>
      <c r="D35" s="391"/>
      <c r="E35" s="391"/>
      <c r="F35" s="487">
        <f>'180B IIIB'!I35+'180B IIIC1'!J35+'180B IIIC2'!J35+'180B IIID'!I35</f>
        <v>0</v>
      </c>
    </row>
    <row r="36" spans="1:6" ht="26.4">
      <c r="A36" s="390" t="s">
        <v>853</v>
      </c>
      <c r="B36" s="491"/>
      <c r="C36" s="391"/>
      <c r="D36" s="391"/>
      <c r="E36" s="391"/>
      <c r="F36" s="493">
        <f>'180B IIIE Age 60+ or EOD'!I35+'180B IIIE 18 and under or Disbl'!I35</f>
        <v>0</v>
      </c>
    </row>
    <row r="37" spans="1:6" ht="26.4">
      <c r="A37" s="390" t="s">
        <v>858</v>
      </c>
      <c r="B37" s="491"/>
      <c r="C37" s="391"/>
      <c r="D37" s="391"/>
      <c r="E37" s="391"/>
      <c r="F37" s="493">
        <f>'180B IIIE Age 60+ or EOD'!I36+'180B IIIE 18 and under or Disbl'!I36</f>
        <v>0</v>
      </c>
    </row>
    <row r="38" spans="1:6">
      <c r="A38" s="390" t="s">
        <v>868</v>
      </c>
      <c r="B38" s="491"/>
      <c r="C38" s="391"/>
      <c r="D38" s="391"/>
      <c r="E38" s="391"/>
      <c r="F38" s="493">
        <f>'180B IIIE Age 60+ or EOD'!I37+'180B IIIE 18 and under or Disbl'!I37</f>
        <v>0</v>
      </c>
    </row>
    <row r="39" spans="1:6" ht="26.4">
      <c r="A39" s="390" t="s">
        <v>880</v>
      </c>
      <c r="B39" s="491"/>
      <c r="C39" s="391"/>
      <c r="D39" s="391"/>
      <c r="E39" s="391"/>
      <c r="F39" s="493">
        <f>'180B IIIE Age 60+ or EOD'!I38+'180B IIIE 18 and under or Disbl'!I38</f>
        <v>0</v>
      </c>
    </row>
    <row r="40" spans="1:6" ht="26.4">
      <c r="A40" s="390" t="s">
        <v>1442</v>
      </c>
      <c r="B40" s="491"/>
      <c r="C40" s="391"/>
      <c r="D40" s="391"/>
      <c r="E40" s="391"/>
      <c r="F40" s="493">
        <f>'180B IIIE Age 60+ or EOD'!I39+'180B IIIE 18 and under or Disbl'!I39</f>
        <v>0</v>
      </c>
    </row>
    <row r="41" spans="1:6" ht="26.4">
      <c r="A41" s="390" t="s">
        <v>1443</v>
      </c>
      <c r="B41" s="491"/>
      <c r="C41" s="391"/>
      <c r="D41" s="391"/>
      <c r="E41" s="391"/>
      <c r="F41" s="493">
        <f>'180B IIIE Age 60+ or EOD'!I40+'180B IIIE 18 and under or Disbl'!I40</f>
        <v>0</v>
      </c>
    </row>
    <row r="42" spans="1:6" ht="26.4">
      <c r="A42" s="390" t="s">
        <v>1444</v>
      </c>
      <c r="B42" s="491"/>
      <c r="C42" s="391"/>
      <c r="D42" s="391"/>
      <c r="E42" s="391"/>
      <c r="F42" s="493">
        <f>'180B IIIE Age 60+ or EOD'!I41+'180B IIIE 18 and under or Disbl'!I41</f>
        <v>0</v>
      </c>
    </row>
    <row r="43" spans="1:6">
      <c r="A43" s="390" t="s">
        <v>911</v>
      </c>
      <c r="B43" s="491"/>
      <c r="C43" s="391"/>
      <c r="D43" s="391"/>
      <c r="E43" s="391"/>
      <c r="F43" s="493">
        <f>'180B IIIE Age 60+ or EOD'!I42+'180B IIIE 18 and under or Disbl'!I42</f>
        <v>0</v>
      </c>
    </row>
    <row r="44" spans="1:6" ht="26.4">
      <c r="A44" s="390" t="s">
        <v>1445</v>
      </c>
      <c r="B44" s="491"/>
      <c r="C44" s="391"/>
      <c r="D44" s="391"/>
      <c r="E44" s="391"/>
      <c r="F44" s="493">
        <f>'180B IIIE Age 60+ or EOD'!I43+'180B IIIE 18 and under or Disbl'!I43</f>
        <v>0</v>
      </c>
    </row>
    <row r="45" spans="1:6">
      <c r="A45" s="390" t="s">
        <v>926</v>
      </c>
      <c r="B45" s="491"/>
      <c r="C45" s="391"/>
      <c r="D45" s="391"/>
      <c r="E45" s="391"/>
      <c r="F45" s="493">
        <f>'180B IIIE Age 60+ or EOD'!I44+'180B IIIE 18 and under or Disbl'!I44</f>
        <v>0</v>
      </c>
    </row>
    <row r="46" spans="1:6">
      <c r="A46" s="445" t="s">
        <v>1413</v>
      </c>
      <c r="B46" s="493">
        <f>+SUM(B5:B45)</f>
        <v>0</v>
      </c>
      <c r="C46" s="393">
        <f>+SUM(C5:C45)</f>
        <v>0</v>
      </c>
      <c r="D46" s="393">
        <f>+SUM(D5:D45)</f>
        <v>0</v>
      </c>
      <c r="E46" s="393">
        <f>+SUM(E5:E45)</f>
        <v>0</v>
      </c>
      <c r="F46" s="493">
        <f t="shared" ref="F46" si="0">+SUM(F5:F45)</f>
        <v>0</v>
      </c>
    </row>
    <row r="47" spans="1:6" ht="13.8" thickBot="1"/>
    <row r="48" spans="1:6" ht="13.8" thickBot="1">
      <c r="A48" s="394"/>
      <c r="C48" s="340"/>
      <c r="D48" s="340"/>
      <c r="E48" s="340"/>
    </row>
    <row r="49" spans="1:6">
      <c r="A49" s="340" t="s">
        <v>1446</v>
      </c>
      <c r="B49" s="485">
        <f>B46+'III-B - #11619'!C10</f>
        <v>0</v>
      </c>
      <c r="C49" s="340"/>
      <c r="D49" s="340"/>
      <c r="E49" s="340"/>
      <c r="F49" s="485">
        <f>SUM(B49:E49)</f>
        <v>0</v>
      </c>
    </row>
    <row r="50" spans="1:6">
      <c r="A50" s="340"/>
      <c r="B50" s="340"/>
      <c r="C50" s="340"/>
      <c r="D50" s="340"/>
      <c r="E50" s="340"/>
    </row>
    <row r="51" spans="1:6">
      <c r="A51" s="340"/>
      <c r="B51" s="340"/>
      <c r="C51" s="340"/>
      <c r="D51" s="340"/>
      <c r="E51" s="340"/>
    </row>
    <row r="52" spans="1:6">
      <c r="A52" s="340"/>
      <c r="B52" s="340"/>
      <c r="C52" s="340"/>
      <c r="D52" s="340"/>
      <c r="E52" s="340"/>
    </row>
    <row r="53" spans="1:6">
      <c r="A53" s="340"/>
      <c r="B53" s="340"/>
      <c r="C53" s="340"/>
      <c r="D53" s="340"/>
      <c r="E53" s="340"/>
    </row>
    <row r="54" spans="1:6">
      <c r="A54" s="340"/>
      <c r="B54" s="340"/>
      <c r="C54" s="340"/>
      <c r="D54" s="340"/>
      <c r="E54" s="340"/>
    </row>
    <row r="55" spans="1:6">
      <c r="A55" s="340"/>
      <c r="B55" s="340"/>
      <c r="C55" s="340"/>
      <c r="D55" s="340"/>
      <c r="E55" s="340"/>
    </row>
    <row r="56" spans="1:6">
      <c r="A56" s="340"/>
      <c r="B56" s="340"/>
      <c r="C56" s="340"/>
      <c r="D56" s="340"/>
      <c r="E56" s="340"/>
    </row>
    <row r="57" spans="1:6">
      <c r="A57" s="340"/>
      <c r="B57" s="340"/>
      <c r="C57" s="340"/>
      <c r="D57" s="340"/>
      <c r="E57" s="340"/>
    </row>
    <row r="58" spans="1:6">
      <c r="A58" s="340"/>
      <c r="B58" s="340"/>
      <c r="C58" s="340"/>
      <c r="D58" s="340"/>
      <c r="E58" s="340"/>
    </row>
    <row r="59" spans="1:6">
      <c r="A59" s="340"/>
      <c r="B59" s="340"/>
      <c r="C59" s="340"/>
      <c r="D59" s="340"/>
      <c r="E59" s="340"/>
    </row>
    <row r="60" spans="1:6">
      <c r="A60" s="340"/>
      <c r="B60" s="340"/>
      <c r="C60" s="340"/>
      <c r="D60" s="340"/>
      <c r="E60" s="340"/>
    </row>
    <row r="61" spans="1:6">
      <c r="A61" s="340"/>
      <c r="B61" s="340"/>
      <c r="C61" s="340"/>
      <c r="D61" s="340"/>
      <c r="E61" s="340"/>
    </row>
    <row r="62" spans="1:6">
      <c r="A62" s="340"/>
      <c r="B62" s="340"/>
      <c r="C62" s="340"/>
      <c r="D62" s="340"/>
      <c r="E62" s="340"/>
    </row>
    <row r="63" spans="1:6">
      <c r="A63" s="340"/>
      <c r="B63" s="340"/>
      <c r="C63" s="340"/>
      <c r="D63" s="340"/>
      <c r="E63" s="340"/>
    </row>
    <row r="64" spans="1:6">
      <c r="A64" s="340"/>
      <c r="B64" s="340"/>
      <c r="C64" s="340"/>
      <c r="D64" s="340"/>
      <c r="E64" s="340"/>
    </row>
    <row r="65" spans="1:5">
      <c r="A65" s="340"/>
      <c r="B65" s="340"/>
      <c r="C65" s="340"/>
      <c r="D65" s="340"/>
      <c r="E65" s="340"/>
    </row>
    <row r="66" spans="1:5">
      <c r="A66" s="340"/>
      <c r="B66" s="340"/>
      <c r="C66" s="340"/>
      <c r="D66" s="340"/>
      <c r="E66" s="340"/>
    </row>
    <row r="67" spans="1:5">
      <c r="A67" s="340"/>
      <c r="B67" s="340"/>
      <c r="C67" s="340"/>
      <c r="D67" s="340"/>
      <c r="E67" s="340"/>
    </row>
    <row r="68" spans="1:5">
      <c r="A68" s="340"/>
      <c r="B68" s="340"/>
      <c r="C68" s="340"/>
      <c r="D68" s="340"/>
      <c r="E68" s="340"/>
    </row>
    <row r="69" spans="1:5">
      <c r="A69" s="340"/>
      <c r="B69" s="340"/>
      <c r="C69" s="340"/>
      <c r="D69" s="340"/>
      <c r="E69" s="340"/>
    </row>
    <row r="70" spans="1:5">
      <c r="A70" s="340"/>
      <c r="B70" s="340"/>
      <c r="C70" s="340"/>
      <c r="D70" s="340"/>
      <c r="E70" s="340"/>
    </row>
    <row r="71" spans="1:5">
      <c r="A71" s="340"/>
      <c r="B71" s="340"/>
      <c r="C71" s="340"/>
      <c r="D71" s="340"/>
      <c r="E71" s="340"/>
    </row>
    <row r="72" spans="1:5">
      <c r="A72" s="340"/>
      <c r="B72" s="340"/>
      <c r="C72" s="340"/>
      <c r="D72" s="340"/>
      <c r="E72" s="340"/>
    </row>
    <row r="73" spans="1:5">
      <c r="A73" s="340"/>
      <c r="B73" s="340"/>
      <c r="C73" s="340"/>
      <c r="D73" s="340"/>
      <c r="E73" s="340"/>
    </row>
    <row r="74" spans="1:5">
      <c r="A74" s="340"/>
      <c r="B74" s="340"/>
      <c r="C74" s="340"/>
      <c r="D74" s="340"/>
      <c r="E74" s="340"/>
    </row>
    <row r="75" spans="1:5">
      <c r="A75" s="340"/>
      <c r="B75" s="340"/>
      <c r="C75" s="340"/>
      <c r="D75" s="340"/>
      <c r="E75" s="340"/>
    </row>
    <row r="76" spans="1:5">
      <c r="A76" s="340"/>
      <c r="B76" s="340"/>
      <c r="C76" s="340"/>
      <c r="D76" s="340"/>
      <c r="E76" s="340"/>
    </row>
    <row r="77" spans="1:5">
      <c r="A77" s="340"/>
      <c r="B77" s="340"/>
      <c r="C77" s="340"/>
      <c r="D77" s="340"/>
      <c r="E77" s="340"/>
    </row>
    <row r="78" spans="1:5">
      <c r="C78" s="340"/>
      <c r="D78" s="340"/>
      <c r="E78" s="340"/>
    </row>
    <row r="79" spans="1:5">
      <c r="C79" s="340"/>
      <c r="D79" s="340"/>
      <c r="E79" s="340"/>
    </row>
    <row r="80" spans="1:5">
      <c r="C80" s="340"/>
      <c r="D80" s="340"/>
      <c r="E80" s="340"/>
    </row>
    <row r="81" spans="3:5">
      <c r="C81" s="340"/>
      <c r="D81" s="340"/>
      <c r="E81" s="340"/>
    </row>
    <row r="82" spans="3:5">
      <c r="C82" s="340"/>
      <c r="D82" s="340"/>
      <c r="E82" s="340"/>
    </row>
    <row r="83" spans="3:5">
      <c r="C83" s="340"/>
      <c r="D83" s="340"/>
      <c r="E83" s="340"/>
    </row>
    <row r="84" spans="3:5">
      <c r="C84" s="340"/>
      <c r="D84" s="340"/>
      <c r="E84" s="340"/>
    </row>
    <row r="85" spans="3:5">
      <c r="C85" s="340"/>
      <c r="D85" s="340"/>
      <c r="E85" s="340"/>
    </row>
    <row r="86" spans="3:5">
      <c r="C86" s="340"/>
      <c r="D86" s="340"/>
      <c r="E86" s="340"/>
    </row>
    <row r="87" spans="3:5">
      <c r="C87" s="340"/>
      <c r="D87" s="340"/>
      <c r="E87" s="340"/>
    </row>
    <row r="88" spans="3:5">
      <c r="C88" s="340"/>
      <c r="D88" s="340"/>
      <c r="E88" s="340"/>
    </row>
    <row r="89" spans="3:5">
      <c r="C89" s="340"/>
      <c r="D89" s="340"/>
      <c r="E89" s="340"/>
    </row>
    <row r="90" spans="3:5">
      <c r="C90" s="340"/>
      <c r="D90" s="340"/>
      <c r="E90" s="340"/>
    </row>
    <row r="91" spans="3:5">
      <c r="C91" s="340"/>
      <c r="D91" s="340"/>
      <c r="E91" s="340"/>
    </row>
    <row r="92" spans="3:5">
      <c r="C92" s="340"/>
      <c r="D92" s="340"/>
      <c r="E92" s="340"/>
    </row>
    <row r="93" spans="3:5">
      <c r="C93" s="340"/>
      <c r="D93" s="340"/>
      <c r="E93" s="340"/>
    </row>
    <row r="94" spans="3:5">
      <c r="C94" s="340"/>
      <c r="D94" s="340"/>
      <c r="E94" s="340"/>
    </row>
    <row r="95" spans="3:5">
      <c r="C95" s="340"/>
      <c r="D95" s="340"/>
      <c r="E95" s="340"/>
    </row>
    <row r="96" spans="3:5">
      <c r="C96" s="340"/>
      <c r="D96" s="340"/>
      <c r="E96" s="340"/>
    </row>
    <row r="97" spans="3:5">
      <c r="C97" s="340"/>
      <c r="D97" s="340"/>
      <c r="E97" s="340"/>
    </row>
    <row r="98" spans="3:5">
      <c r="C98" s="340"/>
      <c r="D98" s="340"/>
      <c r="E98" s="340"/>
    </row>
    <row r="99" spans="3:5">
      <c r="C99" s="340"/>
      <c r="D99" s="340"/>
      <c r="E99" s="340"/>
    </row>
    <row r="100" spans="3:5">
      <c r="C100" s="340"/>
      <c r="D100" s="340"/>
      <c r="E100" s="340"/>
    </row>
    <row r="101" spans="3:5">
      <c r="C101" s="340"/>
      <c r="D101" s="340"/>
      <c r="E101" s="340"/>
    </row>
    <row r="102" spans="3:5">
      <c r="C102" s="340"/>
      <c r="D102" s="340"/>
    </row>
    <row r="103" spans="3:5">
      <c r="C103" s="340"/>
      <c r="D103" s="340"/>
    </row>
    <row r="104" spans="3:5">
      <c r="C104" s="340"/>
      <c r="D104" s="340"/>
    </row>
    <row r="105" spans="3:5">
      <c r="C105" s="340"/>
      <c r="D105" s="340"/>
    </row>
    <row r="106" spans="3:5">
      <c r="C106" s="340"/>
      <c r="D106" s="340"/>
    </row>
    <row r="107" spans="3:5">
      <c r="D107" s="340"/>
    </row>
    <row r="108" spans="3:5">
      <c r="D108" s="340"/>
    </row>
    <row r="109" spans="3:5">
      <c r="D109" s="340"/>
    </row>
    <row r="110" spans="3:5">
      <c r="D110" s="340"/>
    </row>
    <row r="111" spans="3:5">
      <c r="D111" s="340"/>
    </row>
    <row r="112" spans="3:5">
      <c r="D112" s="340"/>
    </row>
    <row r="113" spans="4:4">
      <c r="D113" s="340"/>
    </row>
    <row r="114" spans="4:4">
      <c r="D114" s="340"/>
    </row>
    <row r="115" spans="4:4">
      <c r="D115" s="340"/>
    </row>
    <row r="116" spans="4:4">
      <c r="D116" s="340"/>
    </row>
    <row r="117" spans="4:4">
      <c r="D117" s="340"/>
    </row>
    <row r="118" spans="4:4">
      <c r="D118" s="340"/>
    </row>
    <row r="119" spans="4:4">
      <c r="D119" s="340"/>
    </row>
    <row r="120" spans="4:4">
      <c r="D120" s="340"/>
    </row>
    <row r="121" spans="4:4">
      <c r="D121" s="340"/>
    </row>
    <row r="122" spans="4:4">
      <c r="D122" s="340"/>
    </row>
    <row r="123" spans="4:4">
      <c r="D123" s="340"/>
    </row>
    <row r="124" spans="4:4">
      <c r="D124" s="340"/>
    </row>
    <row r="125" spans="4:4">
      <c r="D125" s="340"/>
    </row>
    <row r="126" spans="4:4">
      <c r="D126" s="340"/>
    </row>
    <row r="127" spans="4:4">
      <c r="D127" s="340"/>
    </row>
    <row r="128" spans="4:4">
      <c r="D128" s="340"/>
    </row>
    <row r="129" spans="4:4">
      <c r="D129" s="340"/>
    </row>
    <row r="130" spans="4:4">
      <c r="D130" s="340"/>
    </row>
    <row r="131" spans="4:4">
      <c r="D131" s="340"/>
    </row>
    <row r="132" spans="4:4">
      <c r="D132" s="340"/>
    </row>
    <row r="133" spans="4:4">
      <c r="D133" s="340"/>
    </row>
    <row r="134" spans="4:4">
      <c r="D134" s="340"/>
    </row>
    <row r="135" spans="4:4">
      <c r="D135" s="340"/>
    </row>
    <row r="136" spans="4:4">
      <c r="D136" s="340"/>
    </row>
    <row r="137" spans="4:4">
      <c r="D137" s="340"/>
    </row>
    <row r="138" spans="4:4">
      <c r="D138" s="340"/>
    </row>
    <row r="139" spans="4:4">
      <c r="D139" s="340"/>
    </row>
    <row r="140" spans="4:4">
      <c r="D140" s="340"/>
    </row>
    <row r="141" spans="4:4">
      <c r="D141" s="340"/>
    </row>
    <row r="142" spans="4:4">
      <c r="D142" s="340"/>
    </row>
    <row r="143" spans="4:4">
      <c r="D143" s="340"/>
    </row>
    <row r="144" spans="4:4">
      <c r="D144" s="340"/>
    </row>
    <row r="145" spans="4:4">
      <c r="D145" s="340"/>
    </row>
    <row r="146" spans="4:4">
      <c r="D146" s="340"/>
    </row>
    <row r="147" spans="4:4">
      <c r="D147" s="340"/>
    </row>
    <row r="148" spans="4:4">
      <c r="D148" s="340"/>
    </row>
    <row r="149" spans="4:4">
      <c r="D149" s="340"/>
    </row>
    <row r="150" spans="4:4">
      <c r="D150" s="340"/>
    </row>
    <row r="151" spans="4:4">
      <c r="D151" s="340"/>
    </row>
    <row r="152" spans="4:4">
      <c r="D152" s="340"/>
    </row>
    <row r="153" spans="4:4">
      <c r="D153" s="340"/>
    </row>
    <row r="154" spans="4:4">
      <c r="D154" s="340"/>
    </row>
    <row r="155" spans="4:4">
      <c r="D155" s="340"/>
    </row>
    <row r="156" spans="4:4">
      <c r="D156" s="340"/>
    </row>
    <row r="157" spans="4:4">
      <c r="D157" s="340"/>
    </row>
    <row r="158" spans="4:4">
      <c r="D158" s="340"/>
    </row>
    <row r="159" spans="4:4">
      <c r="D159" s="340"/>
    </row>
    <row r="160" spans="4:4">
      <c r="D160" s="340"/>
    </row>
    <row r="161" spans="4:4">
      <c r="D161" s="340"/>
    </row>
    <row r="162" spans="4:4">
      <c r="D162" s="340"/>
    </row>
    <row r="163" spans="4:4">
      <c r="D163" s="340"/>
    </row>
    <row r="164" spans="4:4">
      <c r="D164" s="340"/>
    </row>
    <row r="165" spans="4:4">
      <c r="D165" s="340"/>
    </row>
    <row r="166" spans="4:4">
      <c r="D166" s="340"/>
    </row>
    <row r="167" spans="4:4">
      <c r="D167" s="340"/>
    </row>
    <row r="168" spans="4:4">
      <c r="D168" s="340"/>
    </row>
    <row r="169" spans="4:4">
      <c r="D169" s="340"/>
    </row>
    <row r="170" spans="4:4">
      <c r="D170" s="340"/>
    </row>
    <row r="171" spans="4:4">
      <c r="D171" s="340"/>
    </row>
    <row r="172" spans="4:4">
      <c r="D172" s="340"/>
    </row>
    <row r="173" spans="4:4">
      <c r="D173" s="340"/>
    </row>
    <row r="174" spans="4:4">
      <c r="D174" s="340"/>
    </row>
    <row r="175" spans="4:4">
      <c r="D175" s="340"/>
    </row>
    <row r="176" spans="4:4">
      <c r="D176" s="340"/>
    </row>
    <row r="177" spans="4:4">
      <c r="D177" s="340"/>
    </row>
    <row r="178" spans="4:4">
      <c r="D178" s="340"/>
    </row>
    <row r="179" spans="4:4">
      <c r="D179" s="340"/>
    </row>
    <row r="180" spans="4:4">
      <c r="D180" s="340"/>
    </row>
    <row r="181" spans="4:4">
      <c r="D181" s="340"/>
    </row>
  </sheetData>
  <sheetProtection password="C3C4" sheet="1" objects="1" scenarios="1"/>
  <dataValidations count="1">
    <dataValidation type="whole" allowBlank="1" showInputMessage="1" showErrorMessage="1" errorTitle="Data Validation" error="Please enter a whole number between 0 and 2147483647." sqref="B5:E45" xr:uid="{0EFD0AA4-E6C8-4C38-AC56-4441325EB9FA}">
      <formula1>0</formula1>
      <formula2>2147483647</formula2>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508B4-EAFB-4135-8494-FDCFAC7AECA6}">
  <dimension ref="A1:H33"/>
  <sheetViews>
    <sheetView workbookViewId="0">
      <selection activeCell="D22" sqref="D22"/>
    </sheetView>
  </sheetViews>
  <sheetFormatPr defaultRowHeight="13.2"/>
  <cols>
    <col min="1" max="1" width="36.44140625" customWidth="1"/>
    <col min="2" max="2" width="18.109375" customWidth="1"/>
    <col min="3" max="3" width="18.33203125" customWidth="1"/>
    <col min="4" max="4" width="18.44140625" customWidth="1"/>
    <col min="5" max="5" width="18.33203125" customWidth="1"/>
    <col min="6" max="8" width="18.109375" customWidth="1"/>
  </cols>
  <sheetData>
    <row r="1" spans="1:8" ht="15">
      <c r="A1" s="473" t="s">
        <v>1456</v>
      </c>
      <c r="B1" s="473"/>
      <c r="C1" s="473"/>
      <c r="D1" s="473"/>
      <c r="E1" s="473"/>
      <c r="F1" s="473"/>
      <c r="G1" s="473"/>
      <c r="H1" s="473"/>
    </row>
    <row r="2" spans="1:8" ht="15">
      <c r="A2" s="473" t="s">
        <v>1457</v>
      </c>
      <c r="B2" s="473"/>
      <c r="C2" s="473"/>
      <c r="D2" s="473"/>
      <c r="E2" s="473"/>
      <c r="F2" s="473"/>
      <c r="G2" s="473"/>
      <c r="H2" s="473"/>
    </row>
    <row r="3" spans="1:8">
      <c r="A3" s="452"/>
      <c r="B3" s="452"/>
      <c r="C3" s="452"/>
      <c r="D3" s="452"/>
      <c r="E3" s="452"/>
      <c r="F3" s="452"/>
      <c r="G3" s="452"/>
      <c r="H3" s="452"/>
    </row>
    <row r="4" spans="1:8">
      <c r="A4" s="459"/>
      <c r="B4" s="460"/>
      <c r="C4" s="460"/>
      <c r="D4" s="460"/>
      <c r="E4" s="460"/>
      <c r="F4" s="460"/>
      <c r="G4" s="460"/>
      <c r="H4" s="461"/>
    </row>
    <row r="5" spans="1:8" ht="14.4">
      <c r="A5" s="454"/>
      <c r="B5" s="455"/>
      <c r="C5" s="455"/>
      <c r="D5" s="455"/>
      <c r="E5" s="455"/>
      <c r="F5" s="455"/>
      <c r="G5" s="455"/>
      <c r="H5" s="456"/>
    </row>
    <row r="6" spans="1:8" ht="50.4">
      <c r="A6" s="476" t="s">
        <v>1458</v>
      </c>
      <c r="B6" s="476" t="s">
        <v>1459</v>
      </c>
      <c r="C6" s="566" t="s">
        <v>1460</v>
      </c>
      <c r="D6" s="566" t="s">
        <v>1461</v>
      </c>
      <c r="E6" s="476" t="s">
        <v>1462</v>
      </c>
      <c r="F6" s="476" t="s">
        <v>1463</v>
      </c>
      <c r="G6" s="476" t="s">
        <v>1464</v>
      </c>
      <c r="H6" s="476" t="s">
        <v>1465</v>
      </c>
    </row>
    <row r="7" spans="1:8">
      <c r="A7" s="453" t="s">
        <v>1466</v>
      </c>
      <c r="B7" s="497"/>
      <c r="C7" s="497"/>
      <c r="D7" s="497"/>
      <c r="E7" s="497"/>
      <c r="F7" s="498"/>
      <c r="G7" s="498"/>
      <c r="H7" s="500"/>
    </row>
    <row r="8" spans="1:8">
      <c r="A8" s="453" t="s">
        <v>1467</v>
      </c>
      <c r="B8" s="497"/>
      <c r="C8" s="497"/>
      <c r="D8" s="497"/>
      <c r="E8" s="497"/>
      <c r="F8" s="498"/>
      <c r="G8" s="498"/>
      <c r="H8" s="500"/>
    </row>
    <row r="9" spans="1:8">
      <c r="A9" s="453" t="s">
        <v>1468</v>
      </c>
      <c r="B9" s="497"/>
      <c r="C9" s="497"/>
      <c r="D9" s="497"/>
      <c r="E9" s="497"/>
      <c r="F9" s="498"/>
      <c r="G9" s="498"/>
      <c r="H9" s="500"/>
    </row>
    <row r="10" spans="1:8" ht="24">
      <c r="A10" s="453" t="s">
        <v>1469</v>
      </c>
      <c r="B10" s="497"/>
      <c r="C10" s="499"/>
      <c r="D10" s="497"/>
      <c r="E10" s="498"/>
      <c r="F10" s="498"/>
      <c r="G10" s="497"/>
      <c r="H10" s="500"/>
    </row>
    <row r="11" spans="1:8" ht="24">
      <c r="A11" s="453" t="s">
        <v>1470</v>
      </c>
      <c r="B11" s="500"/>
      <c r="C11" s="500"/>
      <c r="D11" s="500"/>
      <c r="E11" s="500"/>
      <c r="F11" s="500"/>
      <c r="G11" s="500"/>
      <c r="H11" s="500"/>
    </row>
    <row r="12" spans="1:8" ht="24">
      <c r="A12" s="453" t="s">
        <v>1471</v>
      </c>
      <c r="B12" s="497"/>
      <c r="C12" s="497"/>
      <c r="D12" s="497"/>
      <c r="E12" s="497"/>
      <c r="F12" s="501"/>
      <c r="G12" s="501"/>
      <c r="H12" s="500"/>
    </row>
    <row r="13" spans="1:8">
      <c r="A13" s="453" t="s">
        <v>1472</v>
      </c>
      <c r="B13" s="497"/>
      <c r="C13" s="497"/>
      <c r="D13" s="497"/>
      <c r="E13" s="497"/>
      <c r="F13" s="501"/>
      <c r="G13" s="501"/>
      <c r="H13" s="500"/>
    </row>
    <row r="14" spans="1:8" ht="14.4">
      <c r="A14" s="479"/>
      <c r="B14" s="457"/>
      <c r="C14" s="457"/>
      <c r="D14" s="457"/>
      <c r="E14" s="457"/>
      <c r="F14" s="457"/>
      <c r="G14" s="457"/>
      <c r="H14" s="458"/>
    </row>
    <row r="15" spans="1:8" ht="50.4">
      <c r="A15" s="476" t="s">
        <v>1458</v>
      </c>
      <c r="B15" s="476" t="s">
        <v>1459</v>
      </c>
      <c r="C15" s="566" t="s">
        <v>1460</v>
      </c>
      <c r="D15" s="566" t="s">
        <v>1461</v>
      </c>
      <c r="E15" s="476" t="s">
        <v>1462</v>
      </c>
      <c r="F15" s="476" t="s">
        <v>1463</v>
      </c>
      <c r="G15" s="476" t="s">
        <v>1464</v>
      </c>
      <c r="H15" s="476" t="s">
        <v>1465</v>
      </c>
    </row>
    <row r="16" spans="1:8" ht="24">
      <c r="A16" s="453" t="s">
        <v>1473</v>
      </c>
      <c r="B16" s="497"/>
      <c r="C16" s="497"/>
      <c r="D16" s="497"/>
      <c r="E16" s="497"/>
      <c r="F16" s="498"/>
      <c r="G16" s="498"/>
      <c r="H16" s="500"/>
    </row>
    <row r="17" spans="1:8">
      <c r="A17" s="453" t="s">
        <v>1474</v>
      </c>
      <c r="B17" s="497"/>
      <c r="C17" s="499"/>
      <c r="D17" s="497"/>
      <c r="E17" s="498"/>
      <c r="F17" s="497"/>
      <c r="G17" s="498"/>
      <c r="H17" s="500"/>
    </row>
    <row r="18" spans="1:8">
      <c r="A18" s="453" t="s">
        <v>1475</v>
      </c>
      <c r="B18" s="500"/>
      <c r="C18" s="500"/>
      <c r="D18" s="500"/>
      <c r="E18" s="500"/>
      <c r="F18" s="500"/>
      <c r="G18" s="500"/>
      <c r="H18" s="500"/>
    </row>
    <row r="19" spans="1:8">
      <c r="A19" s="453" t="s">
        <v>1476</v>
      </c>
      <c r="B19" s="497"/>
      <c r="C19" s="497"/>
      <c r="D19" s="497"/>
      <c r="E19" s="497"/>
      <c r="F19" s="497"/>
      <c r="G19" s="497"/>
      <c r="H19" s="500"/>
    </row>
    <row r="20" spans="1:8" ht="14.4">
      <c r="A20" s="479"/>
      <c r="B20" s="457"/>
      <c r="C20" s="457"/>
      <c r="D20" s="457"/>
      <c r="E20" s="457"/>
      <c r="F20" s="457"/>
      <c r="G20" s="457"/>
      <c r="H20" s="458"/>
    </row>
    <row r="21" spans="1:8" ht="37.799999999999997">
      <c r="A21" s="476" t="s">
        <v>1458</v>
      </c>
      <c r="B21" s="476" t="s">
        <v>1477</v>
      </c>
      <c r="C21" s="566" t="s">
        <v>1460</v>
      </c>
      <c r="D21" s="566" t="s">
        <v>1461</v>
      </c>
      <c r="E21" s="476" t="s">
        <v>1462</v>
      </c>
      <c r="F21" s="476" t="s">
        <v>1463</v>
      </c>
      <c r="G21" s="476" t="s">
        <v>1464</v>
      </c>
      <c r="H21" s="476" t="s">
        <v>1465</v>
      </c>
    </row>
    <row r="22" spans="1:8">
      <c r="A22" s="453" t="s">
        <v>1478</v>
      </c>
      <c r="B22" s="497"/>
      <c r="C22" s="497"/>
      <c r="D22" s="497"/>
      <c r="E22" s="497"/>
      <c r="F22" s="498"/>
      <c r="G22" s="498"/>
      <c r="H22" s="500"/>
    </row>
    <row r="23" spans="1:8">
      <c r="A23" s="453" t="s">
        <v>1479</v>
      </c>
      <c r="B23" s="497"/>
      <c r="C23" s="497"/>
      <c r="D23" s="497"/>
      <c r="E23" s="497"/>
      <c r="F23" s="498"/>
      <c r="G23" s="498"/>
      <c r="H23" s="500"/>
    </row>
    <row r="24" spans="1:8">
      <c r="A24" s="453" t="s">
        <v>1480</v>
      </c>
      <c r="B24" s="497"/>
      <c r="C24" s="497"/>
      <c r="D24" s="497"/>
      <c r="E24" s="497"/>
      <c r="F24" s="497"/>
      <c r="G24" s="497"/>
      <c r="H24" s="500"/>
    </row>
    <row r="25" spans="1:8" ht="24">
      <c r="A25" s="453" t="s">
        <v>1481</v>
      </c>
      <c r="B25" s="497"/>
      <c r="C25" s="497"/>
      <c r="D25" s="497"/>
      <c r="E25" s="497"/>
      <c r="F25" s="498"/>
      <c r="G25" s="498"/>
      <c r="H25" s="500"/>
    </row>
    <row r="26" spans="1:8">
      <c r="A26" s="453" t="s">
        <v>1482</v>
      </c>
      <c r="B26" s="497"/>
      <c r="C26" s="497"/>
      <c r="D26" s="497"/>
      <c r="E26" s="497"/>
      <c r="F26" s="498"/>
      <c r="G26" s="498"/>
      <c r="H26" s="500"/>
    </row>
    <row r="27" spans="1:8">
      <c r="A27" s="453" t="s">
        <v>1483</v>
      </c>
      <c r="B27" s="497">
        <f>'SRT Other'!B21</f>
        <v>0</v>
      </c>
      <c r="C27" s="497">
        <f>'SRT Other'!C21</f>
        <v>0</v>
      </c>
      <c r="D27" s="497"/>
      <c r="E27" s="497"/>
      <c r="F27" s="498"/>
      <c r="G27" s="498"/>
      <c r="H27" s="500"/>
    </row>
    <row r="28" spans="1:8" ht="24">
      <c r="A28" s="453" t="s">
        <v>1484</v>
      </c>
      <c r="B28" s="497"/>
      <c r="C28" s="497"/>
      <c r="D28" s="497"/>
      <c r="E28" s="497"/>
      <c r="F28" s="497"/>
      <c r="G28" s="497"/>
      <c r="H28" s="497"/>
    </row>
    <row r="29" spans="1:8">
      <c r="A29" s="453" t="s">
        <v>1485</v>
      </c>
      <c r="B29" s="497">
        <v>0</v>
      </c>
      <c r="C29" s="497">
        <v>0</v>
      </c>
      <c r="D29" s="497">
        <v>0</v>
      </c>
      <c r="E29" s="497">
        <v>0</v>
      </c>
      <c r="F29" s="497">
        <v>0</v>
      </c>
      <c r="G29" s="497">
        <v>0</v>
      </c>
      <c r="H29" s="497">
        <v>0</v>
      </c>
    </row>
    <row r="30" spans="1:8">
      <c r="A30" s="453" t="s">
        <v>1486</v>
      </c>
      <c r="B30" s="497">
        <f>SUM(B7:B29)</f>
        <v>0</v>
      </c>
      <c r="C30" s="497">
        <f t="shared" ref="C30:H30" si="0">SUM(C7:C29)</f>
        <v>0</v>
      </c>
      <c r="D30" s="497">
        <f t="shared" si="0"/>
        <v>0</v>
      </c>
      <c r="E30" s="497">
        <f t="shared" si="0"/>
        <v>0</v>
      </c>
      <c r="F30" s="497">
        <f t="shared" si="0"/>
        <v>0</v>
      </c>
      <c r="G30" s="497">
        <f t="shared" si="0"/>
        <v>0</v>
      </c>
      <c r="H30" s="497">
        <f t="shared" si="0"/>
        <v>0</v>
      </c>
    </row>
    <row r="31" spans="1:8">
      <c r="A31" s="397"/>
      <c r="B31" s="397"/>
      <c r="C31" s="462"/>
      <c r="D31" s="397"/>
      <c r="E31" s="397"/>
      <c r="F31" s="397"/>
      <c r="G31" s="397"/>
      <c r="H31" s="397"/>
    </row>
    <row r="33" spans="1:3">
      <c r="A33" s="510" t="s">
        <v>1487</v>
      </c>
      <c r="B33" s="397" t="str">
        <f>IF(B27='SRT Other'!B21,"OK","Not Ok")</f>
        <v>OK</v>
      </c>
      <c r="C33" s="397" t="str">
        <f>IF(C27='SRT Other'!C21,"OK","Not Ok")</f>
        <v>OK</v>
      </c>
    </row>
  </sheetData>
  <sheetProtection password="C3C4" sheet="1" objects="1" scenarios="1"/>
  <pageMargins left="0.7" right="0.7" top="0.75" bottom="0.75" header="0.3" footer="0.3"/>
  <ignoredErrors>
    <ignoredError sqref="B28:H30 B27:G27" unlockedFormula="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CCECC-512B-4A5A-9688-1F9946F90AEA}">
  <dimension ref="A1:D18"/>
  <sheetViews>
    <sheetView workbookViewId="0">
      <selection activeCell="D16" sqref="D16"/>
    </sheetView>
  </sheetViews>
  <sheetFormatPr defaultRowHeight="13.2"/>
  <cols>
    <col min="1" max="1" width="44.109375" customWidth="1"/>
    <col min="2" max="2" width="19.109375" customWidth="1"/>
    <col min="3" max="3" width="18.109375" customWidth="1"/>
    <col min="4" max="4" width="18.109375" style="397" customWidth="1"/>
  </cols>
  <sheetData>
    <row r="1" spans="1:4" ht="15">
      <c r="A1" s="473" t="s">
        <v>1456</v>
      </c>
      <c r="B1" s="473"/>
      <c r="C1" s="473"/>
      <c r="D1" s="470"/>
    </row>
    <row r="2" spans="1:4" ht="15">
      <c r="A2" s="473" t="s">
        <v>1488</v>
      </c>
      <c r="B2" s="473"/>
      <c r="C2" s="473"/>
      <c r="D2" s="473"/>
    </row>
    <row r="3" spans="1:4">
      <c r="A3" s="474"/>
      <c r="B3" s="474"/>
      <c r="C3" s="474"/>
      <c r="D3" s="474"/>
    </row>
    <row r="4" spans="1:4" ht="50.4">
      <c r="A4" s="467" t="s">
        <v>1489</v>
      </c>
      <c r="B4" s="567" t="s">
        <v>1490</v>
      </c>
      <c r="C4" s="567" t="s">
        <v>1491</v>
      </c>
      <c r="D4" s="566" t="s">
        <v>1492</v>
      </c>
    </row>
    <row r="5" spans="1:4">
      <c r="A5" s="466" t="s">
        <v>1493</v>
      </c>
      <c r="B5" s="502"/>
      <c r="C5" s="502"/>
      <c r="D5" s="503"/>
    </row>
    <row r="6" spans="1:4" ht="36">
      <c r="A6" s="465" t="s">
        <v>1494</v>
      </c>
      <c r="B6" s="504">
        <f>'180B IIIE Age 60+ or EOD'!B36+'180B IIIE Age 60+ or EOD'!B37+'180B IIIE Age 60+ or EOD'!B38</f>
        <v>0</v>
      </c>
      <c r="C6" s="504">
        <f>'180B IIIE Age 60+ or EOD'!I36+'180B IIIE Age 60+ or EOD'!I37+'180B IIIE Age 60+ or EOD'!I38</f>
        <v>0</v>
      </c>
      <c r="D6" s="505">
        <f>'180B IIIE Age 60+ or EOD'!H36+'180B IIIE Age 60+ or EOD'!H37+'180B IIIE Age 60+ or EOD'!H38</f>
        <v>0</v>
      </c>
    </row>
    <row r="7" spans="1:4">
      <c r="A7" s="463" t="s">
        <v>1495</v>
      </c>
      <c r="B7" s="504">
        <f>'180B IIIE Age 60+ or EOD'!B39+'180B IIIE Age 60+ or EOD'!B40+'180B IIIE Age 60+ or EOD'!B41</f>
        <v>0</v>
      </c>
      <c r="C7" s="504">
        <f>'180B IIIE Age 60+ or EOD'!I39+'180B IIIE Age 60+ or EOD'!I40+'180B IIIE Age 60+ or EOD'!I41</f>
        <v>0</v>
      </c>
      <c r="D7" s="505">
        <f>'180B IIIE Age 60+ or EOD'!H39+'180B IIIE Age 60+ or EOD'!H40+'180B IIIE Age 60+ or EOD'!H41</f>
        <v>0</v>
      </c>
    </row>
    <row r="8" spans="1:4">
      <c r="A8" s="463" t="s">
        <v>1496</v>
      </c>
      <c r="B8" s="504">
        <f>'180B IIIE Age 60+ or EOD'!B42</f>
        <v>0</v>
      </c>
      <c r="C8" s="504">
        <f>'180B IIIE Age 60+ or EOD'!I42</f>
        <v>0</v>
      </c>
      <c r="D8" s="505">
        <f>'180B IIIE Age 60+ or EOD'!H42</f>
        <v>0</v>
      </c>
    </row>
    <row r="9" spans="1:4">
      <c r="A9" s="465" t="s">
        <v>1497</v>
      </c>
      <c r="B9" s="506">
        <v>0</v>
      </c>
      <c r="C9" s="506">
        <v>0</v>
      </c>
      <c r="D9" s="505">
        <v>0</v>
      </c>
    </row>
    <row r="10" spans="1:4">
      <c r="A10" s="471"/>
      <c r="B10" s="472"/>
      <c r="C10" s="472"/>
      <c r="D10" s="472"/>
    </row>
    <row r="11" spans="1:4" ht="50.4">
      <c r="A11" s="467" t="s">
        <v>1489</v>
      </c>
      <c r="B11" s="567" t="s">
        <v>1490</v>
      </c>
      <c r="C11" s="567" t="s">
        <v>1491</v>
      </c>
      <c r="D11" s="566" t="s">
        <v>1492</v>
      </c>
    </row>
    <row r="12" spans="1:4">
      <c r="A12" s="466" t="s">
        <v>1498</v>
      </c>
      <c r="B12" s="502"/>
      <c r="C12" s="502"/>
      <c r="D12" s="507"/>
    </row>
    <row r="13" spans="1:4">
      <c r="A13" s="463" t="s">
        <v>1499</v>
      </c>
      <c r="B13" s="504">
        <f>'180B IIIE Age 60+ or EOD'!B35+'180B IIIE Age 60+ or EOD'!B43</f>
        <v>0</v>
      </c>
      <c r="C13" s="504">
        <f>'180B IIIE Age 60+ or EOD'!I35+'180B IIIE Age 60+ or EOD'!I43</f>
        <v>0</v>
      </c>
      <c r="D13" s="505">
        <f>'180B IIIE Age 60+ or EOD'!H35+'180B IIIE Age 60+ or EOD'!H43</f>
        <v>0</v>
      </c>
    </row>
    <row r="14" spans="1:4">
      <c r="A14" s="477"/>
      <c r="B14" s="502"/>
      <c r="C14" s="502"/>
      <c r="D14" s="507"/>
    </row>
    <row r="15" spans="1:4">
      <c r="A15" s="463" t="s">
        <v>1500</v>
      </c>
      <c r="B15" s="504">
        <f>'180B IIIE Age 60+ or EOD'!B44</f>
        <v>0</v>
      </c>
      <c r="C15" s="504">
        <f>'180B IIIE Age 60+ or EOD'!I44</f>
        <v>0</v>
      </c>
      <c r="D15" s="505">
        <f>'180B IIIE Age 60+ or EOD'!H44</f>
        <v>0</v>
      </c>
    </row>
    <row r="16" spans="1:4">
      <c r="A16" s="475"/>
      <c r="B16" s="475"/>
      <c r="C16" s="475"/>
      <c r="D16" s="475"/>
    </row>
    <row r="17" spans="1:4" ht="50.4">
      <c r="A17" s="467" t="s">
        <v>1489</v>
      </c>
      <c r="B17" s="567" t="s">
        <v>1490</v>
      </c>
      <c r="C17" s="567" t="s">
        <v>1491</v>
      </c>
      <c r="D17" s="566" t="s">
        <v>1492</v>
      </c>
    </row>
    <row r="18" spans="1:4">
      <c r="A18" s="464" t="s">
        <v>1501</v>
      </c>
      <c r="B18" s="508">
        <f>SUM(B5:B17)</f>
        <v>0</v>
      </c>
      <c r="C18" s="508">
        <f>SUM(C5:C17)</f>
        <v>0</v>
      </c>
      <c r="D18" s="508">
        <f>SUM(D5:D17)</f>
        <v>0</v>
      </c>
    </row>
  </sheetData>
  <sheetProtection password="C3C4" sheet="1" objects="1" scenarios="1"/>
  <pageMargins left="0.7" right="0.7" top="0.75" bottom="0.75" header="0.3" footer="0.3"/>
  <ignoredErrors>
    <ignoredError sqref="B18:D18" unlockedFormula="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68455-8559-4FB9-8538-BDFF514BE2E0}">
  <dimension ref="A1:D18"/>
  <sheetViews>
    <sheetView workbookViewId="0">
      <selection activeCell="D16" sqref="D16"/>
    </sheetView>
  </sheetViews>
  <sheetFormatPr defaultRowHeight="13.2"/>
  <cols>
    <col min="1" max="1" width="35.5546875" customWidth="1"/>
    <col min="2" max="2" width="17.88671875" customWidth="1"/>
    <col min="3" max="3" width="18.33203125" customWidth="1"/>
    <col min="4" max="4" width="18.44140625" customWidth="1"/>
  </cols>
  <sheetData>
    <row r="1" spans="1:4" ht="15">
      <c r="A1" s="473" t="s">
        <v>1456</v>
      </c>
      <c r="B1" s="470"/>
      <c r="C1" s="470"/>
      <c r="D1" s="470"/>
    </row>
    <row r="2" spans="1:4" ht="15">
      <c r="A2" s="473" t="s">
        <v>1502</v>
      </c>
      <c r="B2" s="473"/>
      <c r="C2" s="473"/>
      <c r="D2" s="473"/>
    </row>
    <row r="3" spans="1:4">
      <c r="A3" s="474"/>
      <c r="B3" s="474"/>
      <c r="C3" s="474"/>
      <c r="D3" s="474"/>
    </row>
    <row r="4" spans="1:4" ht="50.4">
      <c r="A4" s="478" t="s">
        <v>1489</v>
      </c>
      <c r="B4" s="567" t="s">
        <v>1490</v>
      </c>
      <c r="C4" s="567" t="s">
        <v>1491</v>
      </c>
      <c r="D4" s="566" t="s">
        <v>1492</v>
      </c>
    </row>
    <row r="5" spans="1:4">
      <c r="A5" s="468" t="s">
        <v>1493</v>
      </c>
      <c r="B5" s="503"/>
      <c r="C5" s="503"/>
      <c r="D5" s="503"/>
    </row>
    <row r="6" spans="1:4" ht="36">
      <c r="A6" s="469" t="s">
        <v>1503</v>
      </c>
      <c r="B6" s="505">
        <f>'180B IIIE 18 and under or Disbl'!B36+'180B IIIE 18 and under or Disbl'!B37+'180B IIIE 18 and under or Disbl'!B38</f>
        <v>0</v>
      </c>
      <c r="C6" s="505">
        <f>'180B IIIE 18 and under or Disbl'!I36+'180B IIIE 18 and under or Disbl'!I37+'180B IIIE 18 and under or Disbl'!I38</f>
        <v>0</v>
      </c>
      <c r="D6" s="505">
        <f>'180B IIIE 18 and under or Disbl'!H36+'180B IIIE 18 and under or Disbl'!H37+'180B IIIE 18 and under or Disbl'!H38</f>
        <v>0</v>
      </c>
    </row>
    <row r="7" spans="1:4">
      <c r="A7" s="469" t="s">
        <v>1495</v>
      </c>
      <c r="B7" s="505">
        <f>'180B IIIE 18 and under or Disbl'!B39+'180B IIIE 18 and under or Disbl'!B40+'180B IIIE 18 and under or Disbl'!B41</f>
        <v>0</v>
      </c>
      <c r="C7" s="505">
        <f>'180B IIIE 18 and under or Disbl'!I39+'180B IIIE 18 and under or Disbl'!I40+'180B IIIE 18 and under or Disbl'!I41</f>
        <v>0</v>
      </c>
      <c r="D7" s="505">
        <f>'180B IIIE 18 and under or Disbl'!H39+'180B IIIE 18 and under or Disbl'!H40+'180B IIIE 18 and under or Disbl'!H41</f>
        <v>0</v>
      </c>
    </row>
    <row r="8" spans="1:4">
      <c r="A8" s="469" t="s">
        <v>1496</v>
      </c>
      <c r="B8" s="505">
        <f>'180B IIIE 18 and under or Disbl'!B42</f>
        <v>0</v>
      </c>
      <c r="C8" s="505">
        <f>'180B IIIE 18 and under or Disbl'!I42</f>
        <v>0</v>
      </c>
      <c r="D8" s="505">
        <f>'180B IIIE 18 and under or Disbl'!H42</f>
        <v>0</v>
      </c>
    </row>
    <row r="9" spans="1:4">
      <c r="A9" s="469" t="s">
        <v>1497</v>
      </c>
      <c r="B9" s="505">
        <v>0</v>
      </c>
      <c r="C9" s="505">
        <v>0</v>
      </c>
      <c r="D9" s="505">
        <v>0</v>
      </c>
    </row>
    <row r="10" spans="1:4">
      <c r="A10" s="471"/>
      <c r="B10" s="472"/>
      <c r="C10" s="472"/>
      <c r="D10" s="472"/>
    </row>
    <row r="11" spans="1:4" ht="50.4">
      <c r="A11" s="478" t="s">
        <v>1489</v>
      </c>
      <c r="B11" s="567" t="s">
        <v>1490</v>
      </c>
      <c r="C11" s="567" t="s">
        <v>1491</v>
      </c>
      <c r="D11" s="566" t="s">
        <v>1492</v>
      </c>
    </row>
    <row r="12" spans="1:4">
      <c r="A12" s="468" t="s">
        <v>1498</v>
      </c>
      <c r="B12" s="503"/>
      <c r="C12" s="503"/>
      <c r="D12" s="507"/>
    </row>
    <row r="13" spans="1:4">
      <c r="A13" s="469" t="s">
        <v>1499</v>
      </c>
      <c r="B13" s="505">
        <f>'180B IIIE 18 and under or Disbl'!B43+'180B IIIE 18 and under or Disbl'!B35</f>
        <v>0</v>
      </c>
      <c r="C13" s="505">
        <f>'180B IIIE 18 and under or Disbl'!I35+'180B IIIE 18 and under or Disbl'!I43</f>
        <v>0</v>
      </c>
      <c r="D13" s="505">
        <f>'180B IIIE 18 and under or Disbl'!H35+'180B IIIE 18 and under or Disbl'!H43</f>
        <v>0</v>
      </c>
    </row>
    <row r="14" spans="1:4">
      <c r="A14" s="477"/>
      <c r="B14" s="502"/>
      <c r="C14" s="502"/>
      <c r="D14" s="507"/>
    </row>
    <row r="15" spans="1:4">
      <c r="A15" s="469" t="s">
        <v>1500</v>
      </c>
      <c r="B15" s="505">
        <f>'180B IIIE 18 and under or Disbl'!B44</f>
        <v>0</v>
      </c>
      <c r="C15" s="505">
        <f>'180B IIIE 18 and under or Disbl'!I44</f>
        <v>0</v>
      </c>
      <c r="D15" s="505">
        <f>'180B IIIE 18 and under or Disbl'!H44</f>
        <v>0</v>
      </c>
    </row>
    <row r="16" spans="1:4">
      <c r="A16" s="475"/>
      <c r="B16" s="475"/>
      <c r="C16" s="475"/>
      <c r="D16" s="475"/>
    </row>
    <row r="17" spans="1:4" ht="50.4">
      <c r="A17" s="478" t="s">
        <v>1489</v>
      </c>
      <c r="B17" s="567" t="s">
        <v>1490</v>
      </c>
      <c r="C17" s="567" t="s">
        <v>1491</v>
      </c>
      <c r="D17" s="566" t="s">
        <v>1492</v>
      </c>
    </row>
    <row r="18" spans="1:4">
      <c r="A18" s="468" t="s">
        <v>1501</v>
      </c>
      <c r="B18" s="508">
        <f>SUM(B5:B17)</f>
        <v>0</v>
      </c>
      <c r="C18" s="508">
        <f t="shared" ref="C18:D18" si="0">SUM(C5:C17)</f>
        <v>0</v>
      </c>
      <c r="D18" s="508">
        <f t="shared" si="0"/>
        <v>0</v>
      </c>
    </row>
  </sheetData>
  <sheetProtection password="C3C4" sheet="1" objects="1" scenarios="1"/>
  <pageMargins left="0.7" right="0.7" top="0.75" bottom="0.75" header="0.3" footer="0.3"/>
  <ignoredErrors>
    <ignoredError sqref="B18:D18" unlockedFormula="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8C7BA-C17B-4A2B-AB0C-7075CD0CE4C0}">
  <dimension ref="A1:C21"/>
  <sheetViews>
    <sheetView workbookViewId="0">
      <selection activeCell="B21" sqref="B21"/>
    </sheetView>
  </sheetViews>
  <sheetFormatPr defaultRowHeight="13.2"/>
  <cols>
    <col min="1" max="1" width="49.5546875" bestFit="1" customWidth="1"/>
    <col min="2" max="2" width="18.33203125" customWidth="1"/>
    <col min="3" max="3" width="18.88671875" customWidth="1"/>
  </cols>
  <sheetData>
    <row r="1" spans="1:3" ht="15">
      <c r="A1" s="480" t="s">
        <v>1504</v>
      </c>
      <c r="B1" s="479"/>
      <c r="C1" s="479"/>
    </row>
    <row r="2" spans="1:3" ht="15">
      <c r="A2" s="480" t="s">
        <v>1505</v>
      </c>
      <c r="B2" s="479"/>
      <c r="C2" s="479"/>
    </row>
    <row r="3" spans="1:3" ht="14.4">
      <c r="A3" s="479"/>
      <c r="B3" s="479"/>
      <c r="C3" s="479"/>
    </row>
    <row r="4" spans="1:3" ht="37.799999999999997">
      <c r="A4" s="481" t="s">
        <v>1506</v>
      </c>
      <c r="B4" s="481" t="s">
        <v>1507</v>
      </c>
      <c r="C4" s="481" t="s">
        <v>1508</v>
      </c>
    </row>
    <row r="5" spans="1:3">
      <c r="A5" s="181" t="s">
        <v>1170</v>
      </c>
      <c r="B5" s="505">
        <f>'180B Ind Sum'!B21</f>
        <v>0</v>
      </c>
      <c r="C5" s="505">
        <f>'180B Ind Sum'!F21</f>
        <v>0</v>
      </c>
    </row>
    <row r="6" spans="1:3">
      <c r="A6" s="212" t="s">
        <v>1171</v>
      </c>
      <c r="B6" s="505">
        <f>'180B Ind Sum'!B22</f>
        <v>0</v>
      </c>
      <c r="C6" s="505">
        <f>'180B Ind Sum'!F22</f>
        <v>0</v>
      </c>
    </row>
    <row r="7" spans="1:3">
      <c r="A7" s="212" t="s">
        <v>1172</v>
      </c>
      <c r="B7" s="505">
        <f>'180B Ind Sum'!B23</f>
        <v>0</v>
      </c>
      <c r="C7" s="505">
        <f>'180B Ind Sum'!F23</f>
        <v>0</v>
      </c>
    </row>
    <row r="8" spans="1:3">
      <c r="A8" s="181" t="s">
        <v>1173</v>
      </c>
      <c r="B8" s="505">
        <f>'180B Ind Sum'!B25</f>
        <v>0</v>
      </c>
      <c r="C8" s="505">
        <f>'180B Ind Sum'!F25</f>
        <v>0</v>
      </c>
    </row>
    <row r="9" spans="1:3">
      <c r="A9" s="181" t="s">
        <v>1174</v>
      </c>
      <c r="B9" s="505">
        <f>'180B Ind Sum'!B26</f>
        <v>0</v>
      </c>
      <c r="C9" s="505">
        <f>'180B Ind Sum'!F26</f>
        <v>0</v>
      </c>
    </row>
    <row r="10" spans="1:3">
      <c r="A10" s="182" t="s">
        <v>1175</v>
      </c>
      <c r="B10" s="505">
        <f>'180B Ind Sum'!B27</f>
        <v>0</v>
      </c>
      <c r="C10" s="505">
        <f>'180B Ind Sum'!F27</f>
        <v>0</v>
      </c>
    </row>
    <row r="11" spans="1:3">
      <c r="A11" s="212" t="s">
        <v>1176</v>
      </c>
      <c r="B11" s="505">
        <f>'180B Ind Sum'!B28</f>
        <v>0</v>
      </c>
      <c r="C11" s="505">
        <f>'180B Ind Sum'!F28</f>
        <v>0</v>
      </c>
    </row>
    <row r="12" spans="1:3">
      <c r="A12" s="212" t="s">
        <v>1177</v>
      </c>
      <c r="B12" s="505">
        <f>'180B Ind Sum'!B18+'180B Ind Sum'!E18</f>
        <v>0</v>
      </c>
      <c r="C12" s="505">
        <f>'180B Ind Sum'!F18</f>
        <v>0</v>
      </c>
    </row>
    <row r="13" spans="1:3">
      <c r="A13" s="213" t="s">
        <v>1178</v>
      </c>
      <c r="B13" s="505">
        <f>'180B Ind Sum'!B19</f>
        <v>0</v>
      </c>
      <c r="C13" s="505">
        <f>'180B Ind Sum'!F19</f>
        <v>0</v>
      </c>
    </row>
    <row r="14" spans="1:3">
      <c r="A14" s="212" t="s">
        <v>1179</v>
      </c>
      <c r="B14" s="505">
        <f>'180B Ind Sum'!B29</f>
        <v>0</v>
      </c>
      <c r="C14" s="505">
        <f>'180B Ind Sum'!F29</f>
        <v>0</v>
      </c>
    </row>
    <row r="15" spans="1:3">
      <c r="A15" s="212" t="s">
        <v>1180</v>
      </c>
      <c r="B15" s="505">
        <f>'180B Ind Sum'!B31</f>
        <v>0</v>
      </c>
      <c r="C15" s="505">
        <f>'180B Ind Sum'!F31</f>
        <v>0</v>
      </c>
    </row>
    <row r="16" spans="1:3">
      <c r="A16" s="181" t="s">
        <v>1181</v>
      </c>
      <c r="B16" s="505">
        <f>'180B Ind Sum'!B32</f>
        <v>0</v>
      </c>
      <c r="C16" s="505">
        <f>'180B Ind Sum'!F32</f>
        <v>0</v>
      </c>
    </row>
    <row r="17" spans="1:3">
      <c r="A17" s="212" t="s">
        <v>1182</v>
      </c>
      <c r="B17" s="505">
        <f>'180B Ind Sum'!B33</f>
        <v>0</v>
      </c>
      <c r="C17" s="505">
        <f>'180B Ind Sum'!F33</f>
        <v>0</v>
      </c>
    </row>
    <row r="18" spans="1:3">
      <c r="A18" s="212" t="s">
        <v>1183</v>
      </c>
      <c r="B18" s="505">
        <f>'180B Ind Sum'!B34</f>
        <v>0</v>
      </c>
      <c r="C18" s="505">
        <f>'180B Ind Sum'!F34</f>
        <v>0</v>
      </c>
    </row>
    <row r="19" spans="1:3">
      <c r="A19" s="212" t="s">
        <v>1184</v>
      </c>
      <c r="B19" s="505">
        <f>'180B Ind Sum'!B24</f>
        <v>0</v>
      </c>
      <c r="C19" s="505">
        <f>'180B Ind Sum'!F24</f>
        <v>0</v>
      </c>
    </row>
    <row r="20" spans="1:3">
      <c r="A20" s="212" t="s">
        <v>1185</v>
      </c>
      <c r="B20" s="505">
        <f>'180B Ind Sum'!B35</f>
        <v>0</v>
      </c>
      <c r="C20" s="505">
        <f>'180B Ind Sum'!F35</f>
        <v>0</v>
      </c>
    </row>
    <row r="21" spans="1:3">
      <c r="A21" s="482" t="s">
        <v>210</v>
      </c>
      <c r="B21" s="509">
        <f>SUM(B5:B20)</f>
        <v>0</v>
      </c>
      <c r="C21" s="509">
        <f>SUM(C5:C20)</f>
        <v>0</v>
      </c>
    </row>
  </sheetData>
  <sheetProtection password="C3C4" sheet="1" objects="1" scenarios="1"/>
  <pageMargins left="0.7" right="0.7" top="0.75" bottom="0.75" header="0.3" footer="0.3"/>
  <ignoredErrors>
    <ignoredError sqref="B21:C2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R41"/>
  <sheetViews>
    <sheetView showGridLines="0" showRowColHeaders="0" zoomScaleNormal="100" workbookViewId="0">
      <selection activeCell="B35" sqref="B35"/>
    </sheetView>
  </sheetViews>
  <sheetFormatPr defaultRowHeight="13.2"/>
  <cols>
    <col min="2" max="3" width="4.5546875" customWidth="1"/>
    <col min="8" max="8" width="9.109375" customWidth="1"/>
    <col min="18" max="18" width="30.6640625" customWidth="1"/>
  </cols>
  <sheetData>
    <row r="1" spans="1:18" s="2" customFormat="1" ht="15" customHeight="1">
      <c r="A1" s="31" t="s">
        <v>250</v>
      </c>
      <c r="B1" s="31"/>
      <c r="C1" s="31"/>
      <c r="D1" s="31"/>
      <c r="E1" s="31"/>
      <c r="F1" s="31"/>
      <c r="G1" s="31"/>
      <c r="H1" s="31"/>
      <c r="I1" s="31"/>
      <c r="J1" s="31"/>
      <c r="K1" s="31"/>
      <c r="L1" s="31"/>
      <c r="M1" s="31"/>
      <c r="N1" s="31"/>
      <c r="O1" s="31"/>
      <c r="P1" s="31"/>
      <c r="Q1" s="31"/>
      <c r="R1" s="31"/>
    </row>
    <row r="2" spans="1:18" s="2" customFormat="1" ht="15" customHeight="1">
      <c r="A2" s="31" t="s">
        <v>251</v>
      </c>
      <c r="B2" s="31"/>
      <c r="C2" s="31"/>
      <c r="D2" s="31"/>
      <c r="E2" s="31"/>
      <c r="F2" s="31"/>
      <c r="G2" s="31"/>
      <c r="H2" s="31"/>
      <c r="I2" s="31"/>
      <c r="J2" s="31"/>
      <c r="K2" s="31"/>
      <c r="L2" s="31"/>
      <c r="M2" s="31"/>
      <c r="N2" s="31"/>
      <c r="O2" s="31"/>
      <c r="P2" s="31"/>
      <c r="Q2" s="31"/>
      <c r="R2" s="31"/>
    </row>
    <row r="3" spans="1:18" s="2" customFormat="1" ht="15" customHeight="1">
      <c r="A3" s="31" t="s">
        <v>252</v>
      </c>
      <c r="B3" s="31"/>
      <c r="C3" s="31"/>
      <c r="D3" s="31"/>
      <c r="E3" s="31"/>
      <c r="F3" s="31"/>
      <c r="G3" s="31"/>
      <c r="H3" s="31"/>
      <c r="I3" s="31"/>
      <c r="J3" s="31"/>
      <c r="K3" s="31"/>
      <c r="L3" s="31"/>
      <c r="M3" s="31"/>
      <c r="N3" s="31"/>
      <c r="O3" s="31"/>
      <c r="P3" s="31"/>
      <c r="Q3" s="31"/>
      <c r="R3" s="31"/>
    </row>
    <row r="4" spans="1:18" s="2" customFormat="1" ht="15" customHeight="1">
      <c r="A4" s="32"/>
      <c r="B4" s="32"/>
      <c r="C4" s="32"/>
      <c r="D4" s="32"/>
      <c r="E4" s="32"/>
      <c r="F4" s="32"/>
      <c r="G4" s="32"/>
      <c r="H4" s="32"/>
      <c r="I4" s="32"/>
      <c r="J4" s="32"/>
      <c r="K4" s="32"/>
      <c r="L4" s="32"/>
      <c r="M4" s="32"/>
      <c r="N4" s="32"/>
      <c r="O4" s="32"/>
      <c r="P4" s="32"/>
      <c r="Q4" s="32"/>
      <c r="R4" s="32"/>
    </row>
    <row r="5" spans="1:18" s="2" customFormat="1" ht="15" customHeight="1">
      <c r="A5" s="32" t="s">
        <v>253</v>
      </c>
      <c r="B5" s="32"/>
      <c r="C5" s="32"/>
      <c r="D5" s="32"/>
      <c r="E5" s="32"/>
      <c r="F5" s="32"/>
      <c r="G5" s="32"/>
      <c r="H5" s="32"/>
      <c r="I5" s="32"/>
      <c r="J5" s="32"/>
      <c r="K5" s="32"/>
      <c r="L5" s="32"/>
      <c r="M5" s="32"/>
      <c r="N5" s="32"/>
      <c r="O5" s="32"/>
      <c r="P5" s="32"/>
      <c r="Q5" s="32"/>
      <c r="R5" s="32"/>
    </row>
    <row r="6" spans="1:18" s="2" customFormat="1" ht="15" customHeight="1">
      <c r="A6" s="32"/>
      <c r="B6" s="32" t="s">
        <v>254</v>
      </c>
      <c r="C6" s="32"/>
      <c r="D6" s="32"/>
      <c r="E6" s="32"/>
      <c r="F6" s="32"/>
      <c r="G6" s="32"/>
      <c r="H6" s="32"/>
      <c r="I6" s="32"/>
      <c r="J6" s="32"/>
      <c r="K6" s="32"/>
      <c r="L6" s="32"/>
      <c r="M6" s="32"/>
      <c r="N6" s="32"/>
      <c r="O6" s="32"/>
      <c r="P6" s="32"/>
      <c r="Q6" s="32"/>
      <c r="R6" s="32"/>
    </row>
    <row r="7" spans="1:18" s="2" customFormat="1" ht="15" customHeight="1">
      <c r="A7" s="32"/>
      <c r="B7" s="32" t="s">
        <v>255</v>
      </c>
      <c r="C7" s="32"/>
      <c r="D7" s="32"/>
      <c r="E7" s="32"/>
      <c r="F7" s="32"/>
      <c r="G7" s="32"/>
      <c r="H7" s="32"/>
      <c r="I7" s="32"/>
      <c r="J7" s="32"/>
      <c r="K7" s="32"/>
      <c r="L7" s="32"/>
      <c r="M7" s="32"/>
      <c r="N7" s="32"/>
      <c r="O7" s="32"/>
      <c r="P7" s="32"/>
      <c r="Q7" s="32"/>
      <c r="R7" s="32"/>
    </row>
    <row r="8" spans="1:18" s="2" customFormat="1" ht="15" customHeight="1">
      <c r="A8" s="32"/>
      <c r="B8" s="32"/>
      <c r="C8" s="32"/>
      <c r="D8" s="32"/>
      <c r="E8" s="32"/>
      <c r="F8" s="32"/>
      <c r="G8" s="32"/>
      <c r="H8" s="32"/>
      <c r="I8" s="32"/>
      <c r="J8" s="32"/>
      <c r="K8" s="32"/>
      <c r="L8" s="32"/>
      <c r="M8" s="32"/>
      <c r="N8" s="32"/>
      <c r="O8" s="32"/>
      <c r="P8" s="32"/>
      <c r="Q8" s="32"/>
      <c r="R8" s="32"/>
    </row>
    <row r="9" spans="1:18" s="2" customFormat="1" ht="15" customHeight="1">
      <c r="A9" s="32"/>
      <c r="B9" s="32" t="s">
        <v>256</v>
      </c>
      <c r="C9" s="32" t="s">
        <v>257</v>
      </c>
      <c r="D9" s="32"/>
      <c r="E9" s="32"/>
      <c r="F9" s="32"/>
      <c r="G9" s="32"/>
      <c r="H9" s="32"/>
      <c r="I9" s="32"/>
      <c r="J9" s="32"/>
      <c r="K9" s="32"/>
      <c r="L9" s="32"/>
      <c r="M9" s="32"/>
      <c r="N9" s="32"/>
      <c r="O9" s="32"/>
      <c r="P9" s="32"/>
      <c r="Q9" s="32"/>
      <c r="R9" s="32"/>
    </row>
    <row r="10" spans="1:18" s="2" customFormat="1" ht="15" customHeight="1">
      <c r="A10" s="32"/>
      <c r="B10" s="32"/>
      <c r="C10" s="32" t="s">
        <v>258</v>
      </c>
      <c r="D10" s="32"/>
      <c r="E10" s="32"/>
      <c r="F10" s="32"/>
      <c r="G10" s="32"/>
      <c r="H10" s="32"/>
      <c r="I10" s="32"/>
      <c r="J10" s="32"/>
      <c r="K10" s="32"/>
      <c r="L10" s="32"/>
      <c r="M10" s="32"/>
      <c r="N10" s="32"/>
      <c r="O10" s="32"/>
      <c r="P10" s="32"/>
      <c r="Q10" s="32"/>
      <c r="R10" s="32"/>
    </row>
    <row r="11" spans="1:18" s="2" customFormat="1" ht="15" customHeight="1">
      <c r="A11" s="32"/>
      <c r="B11" s="32"/>
      <c r="C11" s="32"/>
      <c r="D11" s="32"/>
      <c r="E11" s="32"/>
      <c r="F11" s="32"/>
      <c r="G11" s="32"/>
      <c r="H11" s="32"/>
      <c r="I11" s="32"/>
      <c r="J11" s="32"/>
      <c r="K11" s="32"/>
      <c r="L11" s="32"/>
      <c r="M11" s="32"/>
      <c r="N11" s="32"/>
      <c r="O11" s="32"/>
      <c r="P11" s="32"/>
      <c r="Q11" s="32"/>
      <c r="R11" s="32"/>
    </row>
    <row r="12" spans="1:18" s="2" customFormat="1" ht="15" customHeight="1">
      <c r="A12" s="32"/>
      <c r="B12" s="32" t="s">
        <v>259</v>
      </c>
      <c r="C12" s="32" t="s">
        <v>260</v>
      </c>
      <c r="D12" s="32"/>
      <c r="E12" s="32"/>
      <c r="F12" s="32"/>
      <c r="G12" s="32"/>
      <c r="H12" s="32"/>
      <c r="I12" s="32"/>
      <c r="J12" s="32"/>
      <c r="K12" s="32"/>
      <c r="L12" s="32"/>
      <c r="M12" s="32"/>
      <c r="N12" s="32"/>
      <c r="O12" s="32"/>
      <c r="P12" s="32"/>
      <c r="Q12" s="32"/>
      <c r="R12" s="32"/>
    </row>
    <row r="13" spans="1:18" s="2" customFormat="1" ht="15" customHeight="1">
      <c r="A13" s="32"/>
      <c r="B13" s="32"/>
      <c r="C13" s="32" t="s">
        <v>261</v>
      </c>
      <c r="D13" s="32" t="s">
        <v>262</v>
      </c>
      <c r="E13" s="32"/>
      <c r="F13" s="32"/>
      <c r="G13" s="32"/>
      <c r="H13" s="32"/>
      <c r="I13" s="32"/>
      <c r="J13" s="32"/>
      <c r="K13" s="32"/>
      <c r="L13" s="32"/>
      <c r="M13" s="32"/>
      <c r="N13" s="32"/>
      <c r="O13" s="32"/>
      <c r="P13" s="32"/>
      <c r="Q13" s="32"/>
      <c r="R13" s="32"/>
    </row>
    <row r="14" spans="1:18" s="2" customFormat="1" ht="15" customHeight="1">
      <c r="A14" s="32"/>
      <c r="B14" s="32"/>
      <c r="C14" s="32" t="s">
        <v>263</v>
      </c>
      <c r="D14" s="32" t="s">
        <v>264</v>
      </c>
      <c r="E14" s="32"/>
      <c r="F14" s="32"/>
      <c r="G14" s="32"/>
      <c r="H14" s="32"/>
      <c r="I14" s="32"/>
      <c r="J14" s="32"/>
      <c r="K14" s="32"/>
      <c r="L14" s="32"/>
      <c r="M14" s="32"/>
      <c r="N14" s="32"/>
      <c r="O14" s="32"/>
      <c r="P14" s="32"/>
      <c r="Q14" s="32"/>
      <c r="R14" s="32"/>
    </row>
    <row r="15" spans="1:18" s="2" customFormat="1" ht="15" customHeight="1">
      <c r="A15" s="32"/>
      <c r="B15" s="32"/>
      <c r="C15" s="32" t="s">
        <v>265</v>
      </c>
      <c r="D15" s="32" t="s">
        <v>266</v>
      </c>
      <c r="E15" s="32"/>
      <c r="F15" s="32"/>
      <c r="G15" s="32"/>
      <c r="H15" s="32"/>
      <c r="I15" s="32"/>
      <c r="J15" s="32"/>
      <c r="K15" s="32"/>
      <c r="L15" s="32"/>
      <c r="M15" s="32"/>
      <c r="N15" s="32"/>
      <c r="O15" s="32"/>
      <c r="P15" s="32"/>
      <c r="Q15" s="32"/>
      <c r="R15" s="32"/>
    </row>
    <row r="16" spans="1:18" s="2" customFormat="1" ht="15" customHeight="1">
      <c r="A16" s="32"/>
      <c r="B16" s="32"/>
      <c r="C16" s="32"/>
      <c r="D16" s="32"/>
      <c r="E16" s="32"/>
      <c r="F16" s="32"/>
      <c r="G16" s="32"/>
      <c r="H16" s="32"/>
      <c r="I16" s="32"/>
      <c r="J16" s="32"/>
      <c r="K16" s="32"/>
      <c r="L16" s="32"/>
      <c r="M16" s="32"/>
      <c r="N16" s="32"/>
      <c r="O16" s="32"/>
      <c r="P16" s="32"/>
      <c r="Q16" s="32"/>
      <c r="R16" s="32"/>
    </row>
    <row r="17" spans="1:18" s="2" customFormat="1" ht="15" customHeight="1">
      <c r="A17" s="32"/>
      <c r="B17" s="32" t="s">
        <v>267</v>
      </c>
      <c r="C17" s="32" t="s">
        <v>268</v>
      </c>
      <c r="D17" s="32"/>
      <c r="E17" s="32"/>
      <c r="F17" s="32"/>
      <c r="G17" s="32"/>
      <c r="H17" s="32"/>
      <c r="I17" s="32"/>
      <c r="J17" s="32"/>
      <c r="K17" s="32"/>
      <c r="L17" s="32"/>
      <c r="M17" s="32"/>
      <c r="N17" s="32"/>
      <c r="O17" s="32"/>
      <c r="P17" s="32"/>
      <c r="Q17" s="32"/>
      <c r="R17" s="32"/>
    </row>
    <row r="18" spans="1:18" s="2" customFormat="1" ht="15" customHeight="1">
      <c r="A18" s="32"/>
      <c r="B18" s="32"/>
      <c r="C18" s="32" t="s">
        <v>269</v>
      </c>
      <c r="D18" s="32"/>
      <c r="E18" s="32"/>
      <c r="F18" s="32"/>
      <c r="G18" s="32"/>
      <c r="H18" s="32"/>
      <c r="I18" s="32"/>
      <c r="J18" s="32"/>
      <c r="K18" s="32"/>
      <c r="L18" s="32"/>
      <c r="M18" s="32"/>
      <c r="N18" s="32"/>
      <c r="O18" s="32"/>
      <c r="P18" s="32"/>
      <c r="Q18" s="32"/>
      <c r="R18" s="32"/>
    </row>
    <row r="19" spans="1:18" s="2" customFormat="1" ht="15" customHeight="1">
      <c r="A19" s="32"/>
      <c r="B19" s="32"/>
      <c r="C19" s="33" t="s">
        <v>270</v>
      </c>
      <c r="D19" s="32" t="s">
        <v>271</v>
      </c>
      <c r="E19" s="32"/>
      <c r="F19" s="32"/>
      <c r="G19" s="32"/>
      <c r="H19" s="32"/>
      <c r="I19" s="32"/>
      <c r="J19" s="32"/>
      <c r="K19" s="32"/>
      <c r="L19" s="32"/>
      <c r="M19" s="32"/>
      <c r="N19" s="32"/>
      <c r="O19" s="32"/>
      <c r="P19" s="32"/>
      <c r="Q19" s="32"/>
      <c r="R19" s="32"/>
    </row>
    <row r="20" spans="1:18" s="2" customFormat="1" ht="15" customHeight="1">
      <c r="A20" s="32"/>
      <c r="B20" s="32"/>
      <c r="C20" s="33"/>
      <c r="D20" s="32" t="s">
        <v>272</v>
      </c>
      <c r="E20" s="32"/>
      <c r="F20" s="32"/>
      <c r="G20" s="32"/>
      <c r="H20" s="32"/>
      <c r="I20" s="32"/>
      <c r="J20" s="32"/>
      <c r="K20" s="32"/>
      <c r="L20" s="32"/>
      <c r="M20" s="32"/>
      <c r="N20" s="32"/>
      <c r="O20" s="32"/>
      <c r="P20" s="32"/>
      <c r="Q20" s="32"/>
      <c r="R20" s="32"/>
    </row>
    <row r="21" spans="1:18" s="2" customFormat="1" ht="15" customHeight="1">
      <c r="A21" s="32"/>
      <c r="B21" s="32"/>
      <c r="C21" s="33" t="s">
        <v>270</v>
      </c>
      <c r="D21" s="32" t="s">
        <v>273</v>
      </c>
      <c r="E21" s="32"/>
      <c r="F21" s="32"/>
      <c r="G21" s="32"/>
      <c r="H21" s="32"/>
      <c r="I21" s="32"/>
      <c r="J21" s="32"/>
      <c r="K21" s="32"/>
      <c r="L21" s="32"/>
      <c r="M21" s="32"/>
      <c r="N21" s="32"/>
      <c r="O21" s="32"/>
      <c r="P21" s="32"/>
      <c r="Q21" s="32"/>
      <c r="R21" s="32"/>
    </row>
    <row r="22" spans="1:18" s="2" customFormat="1" ht="15" customHeight="1">
      <c r="A22" s="32"/>
      <c r="B22" s="32"/>
      <c r="C22" s="511" t="s">
        <v>270</v>
      </c>
      <c r="D22" s="64" t="s">
        <v>274</v>
      </c>
      <c r="E22" s="32"/>
      <c r="F22" s="32"/>
      <c r="G22" s="32"/>
      <c r="H22" s="32"/>
      <c r="I22" s="32"/>
      <c r="J22" s="32"/>
      <c r="K22" s="32"/>
      <c r="L22" s="32"/>
      <c r="M22" s="32"/>
      <c r="N22" s="32"/>
      <c r="O22" s="32"/>
      <c r="P22" s="32"/>
      <c r="Q22" s="32"/>
      <c r="R22" s="32"/>
    </row>
    <row r="23" spans="1:18" s="2" customFormat="1" ht="15" customHeight="1">
      <c r="A23" s="32"/>
      <c r="B23" s="32"/>
      <c r="C23" s="32"/>
      <c r="D23" s="64" t="s">
        <v>275</v>
      </c>
      <c r="E23" s="32"/>
      <c r="F23" s="32"/>
      <c r="G23" s="32"/>
      <c r="H23" s="32"/>
      <c r="I23" s="32"/>
      <c r="J23" s="32"/>
      <c r="K23" s="32"/>
      <c r="L23" s="32"/>
      <c r="M23" s="32"/>
      <c r="N23" s="32"/>
      <c r="O23" s="32"/>
      <c r="P23" s="32"/>
      <c r="Q23" s="32"/>
      <c r="R23" s="32"/>
    </row>
    <row r="24" spans="1:18" s="2" customFormat="1" ht="15" customHeight="1">
      <c r="A24" s="32"/>
      <c r="B24" s="32"/>
      <c r="C24" s="32"/>
      <c r="D24" s="32"/>
      <c r="E24" s="32"/>
      <c r="F24" s="32"/>
      <c r="G24" s="32"/>
      <c r="H24" s="32"/>
      <c r="I24" s="32"/>
      <c r="J24" s="32"/>
      <c r="K24" s="32"/>
      <c r="L24" s="32"/>
      <c r="M24" s="32"/>
      <c r="N24" s="32"/>
      <c r="O24" s="32"/>
      <c r="P24" s="32"/>
      <c r="Q24" s="32"/>
      <c r="R24" s="32"/>
    </row>
    <row r="25" spans="1:18" s="2" customFormat="1" ht="15" customHeight="1">
      <c r="A25" s="32"/>
      <c r="B25" s="32" t="s">
        <v>276</v>
      </c>
      <c r="C25" s="32" t="s">
        <v>277</v>
      </c>
      <c r="D25" s="32"/>
      <c r="E25" s="32"/>
      <c r="F25" s="32"/>
      <c r="G25" s="32"/>
      <c r="H25" s="32"/>
      <c r="I25" s="32"/>
      <c r="J25" s="32"/>
      <c r="K25" s="32"/>
      <c r="L25" s="32"/>
      <c r="M25" s="32"/>
      <c r="N25" s="32"/>
      <c r="O25" s="32"/>
      <c r="P25" s="32"/>
      <c r="Q25" s="32"/>
      <c r="R25" s="32"/>
    </row>
    <row r="26" spans="1:18" s="2" customFormat="1" ht="15" customHeight="1">
      <c r="A26" s="32"/>
      <c r="B26" s="32"/>
      <c r="C26" s="33" t="s">
        <v>270</v>
      </c>
      <c r="D26" s="32" t="s">
        <v>278</v>
      </c>
      <c r="E26" s="32"/>
      <c r="F26" s="32"/>
      <c r="G26" s="32"/>
      <c r="H26" s="32"/>
      <c r="I26" s="32"/>
      <c r="J26" s="32"/>
      <c r="K26" s="32"/>
      <c r="L26" s="32"/>
      <c r="M26" s="32"/>
      <c r="N26" s="32"/>
      <c r="O26" s="32"/>
      <c r="P26" s="32"/>
      <c r="Q26" s="32"/>
      <c r="R26" s="32"/>
    </row>
    <row r="27" spans="1:18" s="2" customFormat="1" ht="15" customHeight="1">
      <c r="A27" s="32"/>
      <c r="B27" s="32"/>
      <c r="C27" s="32"/>
      <c r="D27" s="32" t="s">
        <v>279</v>
      </c>
      <c r="E27" s="32"/>
      <c r="F27" s="32"/>
      <c r="G27" s="32"/>
      <c r="H27" s="32"/>
      <c r="I27" s="32"/>
      <c r="J27" s="32"/>
      <c r="K27" s="32"/>
      <c r="L27" s="32"/>
      <c r="M27" s="32"/>
      <c r="N27" s="32"/>
      <c r="O27" s="32"/>
      <c r="P27" s="32"/>
      <c r="Q27" s="32"/>
      <c r="R27" s="32"/>
    </row>
    <row r="28" spans="1:18" s="2" customFormat="1" ht="15" customHeight="1">
      <c r="A28" s="32"/>
      <c r="B28" s="32"/>
      <c r="C28" s="32"/>
      <c r="D28" s="32"/>
      <c r="E28" s="32"/>
      <c r="F28" s="32"/>
      <c r="G28" s="32"/>
      <c r="H28" s="32"/>
      <c r="I28" s="32"/>
      <c r="J28" s="32"/>
      <c r="K28" s="32"/>
      <c r="L28" s="32"/>
      <c r="M28" s="32"/>
      <c r="N28" s="32"/>
      <c r="O28" s="32"/>
      <c r="P28" s="32"/>
      <c r="Q28" s="32"/>
      <c r="R28" s="32"/>
    </row>
    <row r="29" spans="1:18" s="2" customFormat="1" ht="15" customHeight="1">
      <c r="A29" s="32"/>
      <c r="B29" s="32" t="s">
        <v>280</v>
      </c>
      <c r="C29" s="32" t="s">
        <v>281</v>
      </c>
      <c r="D29" s="32"/>
      <c r="E29" s="32"/>
      <c r="F29" s="32"/>
      <c r="G29" s="32"/>
      <c r="H29" s="32"/>
      <c r="I29" s="32"/>
      <c r="J29" s="32"/>
      <c r="K29" s="32"/>
      <c r="L29" s="32"/>
      <c r="M29" s="32"/>
      <c r="N29" s="32"/>
      <c r="O29" s="32"/>
      <c r="P29" s="32"/>
      <c r="Q29" s="32"/>
      <c r="R29" s="32"/>
    </row>
    <row r="30" spans="1:18" s="2" customFormat="1" ht="15" customHeight="1">
      <c r="A30" s="32"/>
      <c r="B30" s="32"/>
      <c r="C30" s="32" t="s">
        <v>282</v>
      </c>
      <c r="D30" s="32"/>
      <c r="E30" s="32"/>
      <c r="F30" s="32"/>
      <c r="G30" s="32"/>
      <c r="H30" s="32"/>
      <c r="I30" s="32"/>
      <c r="J30" s="32"/>
      <c r="K30" s="32"/>
      <c r="L30" s="32"/>
      <c r="M30" s="32"/>
      <c r="N30" s="32"/>
      <c r="O30" s="32"/>
      <c r="P30" s="32"/>
      <c r="Q30" s="32"/>
      <c r="R30" s="32"/>
    </row>
    <row r="31" spans="1:18" s="2" customFormat="1" ht="15" customHeight="1">
      <c r="A31" s="32"/>
      <c r="B31" s="32"/>
      <c r="C31" s="32"/>
      <c r="D31" s="32"/>
      <c r="E31" s="32"/>
      <c r="F31" s="32"/>
      <c r="G31" s="32"/>
      <c r="H31" s="32"/>
      <c r="I31" s="32"/>
      <c r="J31" s="32"/>
      <c r="K31" s="32"/>
      <c r="L31" s="32"/>
      <c r="M31" s="32"/>
      <c r="N31" s="32"/>
      <c r="O31" s="32"/>
      <c r="P31" s="32"/>
      <c r="Q31" s="32"/>
      <c r="R31" s="32"/>
    </row>
    <row r="32" spans="1:18" s="2" customFormat="1" ht="15" customHeight="1">
      <c r="A32" s="34" t="s">
        <v>283</v>
      </c>
      <c r="B32" s="34"/>
      <c r="C32" s="34"/>
      <c r="D32" s="34"/>
      <c r="E32" s="34"/>
      <c r="F32" s="34"/>
      <c r="G32" s="34"/>
      <c r="H32" s="34"/>
      <c r="I32" s="34"/>
      <c r="J32" s="34"/>
      <c r="K32" s="34"/>
      <c r="L32" s="34"/>
      <c r="M32" s="34"/>
      <c r="N32" s="34"/>
      <c r="O32" s="34"/>
      <c r="P32" s="34"/>
      <c r="Q32" s="34"/>
      <c r="R32" s="34"/>
    </row>
    <row r="33" spans="1:18" s="2" customFormat="1" ht="15" customHeight="1">
      <c r="A33" s="34"/>
      <c r="B33" s="59" t="s">
        <v>284</v>
      </c>
      <c r="C33" s="34"/>
      <c r="D33" s="34"/>
      <c r="E33" s="34"/>
      <c r="F33" s="34"/>
      <c r="G33" s="34"/>
      <c r="H33" s="34"/>
      <c r="I33" s="34"/>
      <c r="J33" s="34"/>
      <c r="K33" s="34"/>
      <c r="L33" s="34"/>
      <c r="M33" s="34"/>
      <c r="N33" s="34"/>
      <c r="O33" s="34"/>
      <c r="P33" s="34"/>
      <c r="Q33" s="34"/>
      <c r="R33" s="34"/>
    </row>
    <row r="34" spans="1:18" s="2" customFormat="1" ht="15" customHeight="1">
      <c r="A34" s="34"/>
      <c r="B34" s="59" t="s">
        <v>285</v>
      </c>
      <c r="C34" s="34"/>
      <c r="D34" s="34"/>
      <c r="E34" s="34"/>
      <c r="F34" s="34"/>
      <c r="G34" s="34"/>
      <c r="H34" s="34"/>
      <c r="I34" s="34"/>
      <c r="J34" s="34"/>
      <c r="K34" s="34"/>
      <c r="L34" s="34"/>
      <c r="M34" s="34"/>
      <c r="N34" s="34"/>
      <c r="O34" s="34"/>
      <c r="P34" s="34"/>
      <c r="Q34" s="34"/>
      <c r="R34" s="34"/>
    </row>
    <row r="35" spans="1:18" s="2" customFormat="1" ht="15" customHeight="1">
      <c r="A35" s="34"/>
      <c r="B35" s="59" t="s">
        <v>286</v>
      </c>
      <c r="C35" s="34"/>
      <c r="D35" s="34"/>
      <c r="E35" s="34"/>
      <c r="F35" s="34"/>
      <c r="G35" s="34"/>
      <c r="H35" s="34"/>
      <c r="I35" s="34"/>
      <c r="J35" s="34"/>
      <c r="K35" s="34"/>
      <c r="L35" s="34"/>
      <c r="M35" s="34"/>
      <c r="N35" s="34"/>
      <c r="O35" s="34"/>
      <c r="P35" s="34"/>
      <c r="Q35" s="34"/>
      <c r="R35" s="34"/>
    </row>
    <row r="36" spans="1:18" s="2" customFormat="1" ht="15" customHeight="1">
      <c r="A36" s="34"/>
      <c r="B36" s="59" t="s">
        <v>287</v>
      </c>
      <c r="C36" s="34"/>
      <c r="D36" s="34"/>
      <c r="E36" s="34"/>
      <c r="F36" s="34"/>
      <c r="G36" s="34"/>
      <c r="H36" s="34"/>
      <c r="I36" s="34"/>
      <c r="J36" s="34"/>
      <c r="K36" s="34"/>
      <c r="L36" s="34"/>
      <c r="M36" s="34"/>
      <c r="N36" s="34"/>
      <c r="O36" s="34"/>
      <c r="P36" s="34"/>
      <c r="Q36" s="34"/>
      <c r="R36" s="34"/>
    </row>
    <row r="37" spans="1:18" s="2" customFormat="1" ht="15" customHeight="1"/>
    <row r="38" spans="1:18" s="2" customFormat="1" ht="15" customHeight="1"/>
    <row r="39" spans="1:18" s="2" customFormat="1" ht="15" customHeight="1"/>
    <row r="40" spans="1:18" s="2" customFormat="1" ht="15" customHeight="1"/>
    <row r="41" spans="1:18" s="2" customFormat="1" ht="15" customHeight="1"/>
  </sheetData>
  <sheetProtection password="C3C4" sheet="1" objects="1" scenarios="1"/>
  <customSheetViews>
    <customSheetView guid="{89953FCB-456A-4C2D-8912-B30825F750D3}" showGridLines="0" fitToPage="1">
      <selection activeCell="D25" sqref="D25"/>
      <pageMargins left="0" right="0" top="0" bottom="0" header="0" footer="0"/>
      <printOptions horizontalCentered="1" verticalCentered="1"/>
      <pageSetup scale="75" orientation="landscape" r:id="rId1"/>
      <headerFooter alignWithMargins="0"/>
    </customSheetView>
  </customSheetViews>
  <phoneticPr fontId="4" type="noConversion"/>
  <printOptions horizontalCentered="1" verticalCentered="1"/>
  <pageMargins left="0.39" right="0.4" top="1" bottom="1" header="0.5" footer="0.5"/>
  <pageSetup scale="7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8D5B2-10E8-439E-88AB-1EBB9F8DC974}">
  <sheetPr>
    <pageSetUpPr fitToPage="1"/>
  </sheetPr>
  <dimension ref="A1:D25"/>
  <sheetViews>
    <sheetView workbookViewId="0">
      <selection sqref="A1:D1"/>
    </sheetView>
  </sheetViews>
  <sheetFormatPr defaultColWidth="8.88671875" defaultRowHeight="13.2"/>
  <cols>
    <col min="1" max="1" width="33.33203125" style="515" customWidth="1"/>
    <col min="2" max="2" width="51.5546875" style="515" customWidth="1"/>
    <col min="3" max="3" width="54.88671875" style="515" customWidth="1"/>
    <col min="4" max="4" width="47.5546875" style="515" customWidth="1"/>
    <col min="5" max="16384" width="8.88671875" style="15"/>
  </cols>
  <sheetData>
    <row r="1" spans="1:4" ht="111.9" customHeight="1">
      <c r="A1" s="571" t="s">
        <v>288</v>
      </c>
      <c r="B1" s="572"/>
      <c r="C1" s="572"/>
      <c r="D1" s="572"/>
    </row>
    <row r="2" spans="1:4">
      <c r="A2" s="553"/>
      <c r="B2" s="553"/>
      <c r="C2" s="553"/>
      <c r="D2" s="553"/>
    </row>
    <row r="3" spans="1:4">
      <c r="A3" s="512" t="s">
        <v>289</v>
      </c>
      <c r="B3" s="512" t="s">
        <v>290</v>
      </c>
      <c r="C3" s="512" t="s">
        <v>291</v>
      </c>
      <c r="D3" s="512" t="s">
        <v>292</v>
      </c>
    </row>
    <row r="4" spans="1:4" ht="26.4">
      <c r="A4" s="513" t="s">
        <v>293</v>
      </c>
      <c r="B4" s="514" t="s">
        <v>294</v>
      </c>
      <c r="C4" s="514" t="s">
        <v>295</v>
      </c>
      <c r="D4" s="514" t="s">
        <v>296</v>
      </c>
    </row>
    <row r="5" spans="1:4" ht="66">
      <c r="A5" s="513" t="s">
        <v>297</v>
      </c>
      <c r="B5" s="514" t="s">
        <v>298</v>
      </c>
      <c r="C5" s="514" t="s">
        <v>299</v>
      </c>
      <c r="D5" s="514" t="s">
        <v>300</v>
      </c>
    </row>
    <row r="6" spans="1:4" ht="79.2">
      <c r="A6" s="514" t="s">
        <v>301</v>
      </c>
      <c r="B6" s="514" t="s">
        <v>302</v>
      </c>
      <c r="C6" s="514" t="s">
        <v>303</v>
      </c>
      <c r="D6" s="513" t="s">
        <v>304</v>
      </c>
    </row>
    <row r="7" spans="1:4" ht="132">
      <c r="A7" s="514" t="s">
        <v>305</v>
      </c>
      <c r="B7" s="513" t="s">
        <v>306</v>
      </c>
      <c r="C7" s="514" t="s">
        <v>307</v>
      </c>
      <c r="D7" s="514" t="s">
        <v>308</v>
      </c>
    </row>
    <row r="8" spans="1:4" ht="52.8">
      <c r="A8" s="514" t="s">
        <v>309</v>
      </c>
      <c r="B8" s="514" t="s">
        <v>310</v>
      </c>
      <c r="C8" s="514" t="s">
        <v>311</v>
      </c>
      <c r="D8" s="514" t="s">
        <v>312</v>
      </c>
    </row>
    <row r="9" spans="1:4" ht="79.2">
      <c r="A9" s="514" t="s">
        <v>313</v>
      </c>
      <c r="B9" s="514" t="s">
        <v>314</v>
      </c>
      <c r="C9" s="514" t="s">
        <v>315</v>
      </c>
      <c r="D9" s="513" t="s">
        <v>316</v>
      </c>
    </row>
    <row r="10" spans="1:4" ht="52.8">
      <c r="A10" s="514" t="s">
        <v>317</v>
      </c>
      <c r="B10" s="514" t="s">
        <v>318</v>
      </c>
      <c r="C10" s="514" t="s">
        <v>319</v>
      </c>
      <c r="D10" s="514" t="s">
        <v>320</v>
      </c>
    </row>
    <row r="11" spans="1:4" ht="171.6">
      <c r="A11" s="513" t="s">
        <v>321</v>
      </c>
      <c r="B11" s="514" t="s">
        <v>322</v>
      </c>
      <c r="C11" s="513" t="s">
        <v>323</v>
      </c>
      <c r="D11" s="514" t="s">
        <v>324</v>
      </c>
    </row>
    <row r="12" spans="1:4" ht="171.6">
      <c r="A12" s="513" t="s">
        <v>325</v>
      </c>
      <c r="B12" s="514" t="s">
        <v>326</v>
      </c>
      <c r="C12" s="513" t="s">
        <v>323</v>
      </c>
      <c r="D12" s="514" t="s">
        <v>324</v>
      </c>
    </row>
    <row r="13" spans="1:4" ht="171.6">
      <c r="A13" s="513" t="s">
        <v>327</v>
      </c>
      <c r="B13" s="514" t="s">
        <v>328</v>
      </c>
      <c r="C13" s="513" t="s">
        <v>323</v>
      </c>
      <c r="D13" s="514" t="s">
        <v>324</v>
      </c>
    </row>
    <row r="14" spans="1:4" ht="171.6">
      <c r="A14" s="513" t="s">
        <v>329</v>
      </c>
      <c r="B14" s="514" t="s">
        <v>330</v>
      </c>
      <c r="C14" s="513" t="s">
        <v>323</v>
      </c>
      <c r="D14" s="514" t="s">
        <v>324</v>
      </c>
    </row>
    <row r="15" spans="1:4" ht="52.8">
      <c r="A15" s="514" t="s">
        <v>331</v>
      </c>
      <c r="B15" s="514" t="s">
        <v>332</v>
      </c>
      <c r="C15" s="513" t="s">
        <v>333</v>
      </c>
      <c r="D15" s="514"/>
    </row>
    <row r="16" spans="1:4">
      <c r="A16" s="514"/>
      <c r="B16" s="514"/>
      <c r="C16" s="513"/>
      <c r="D16" s="514"/>
    </row>
    <row r="17" spans="1:4">
      <c r="A17" s="516" t="s">
        <v>334</v>
      </c>
      <c r="B17" s="514"/>
      <c r="C17" s="513"/>
      <c r="D17" s="514"/>
    </row>
    <row r="18" spans="1:4" ht="66">
      <c r="A18" s="513" t="s">
        <v>335</v>
      </c>
      <c r="B18" s="514" t="s">
        <v>336</v>
      </c>
      <c r="C18" s="514" t="s">
        <v>337</v>
      </c>
      <c r="D18" s="514" t="s">
        <v>338</v>
      </c>
    </row>
    <row r="19" spans="1:4" ht="66">
      <c r="A19" s="513" t="s">
        <v>339</v>
      </c>
      <c r="B19" s="514" t="s">
        <v>340</v>
      </c>
      <c r="C19" s="514" t="s">
        <v>341</v>
      </c>
      <c r="D19" s="514" t="s">
        <v>342</v>
      </c>
    </row>
    <row r="20" spans="1:4" ht="39.6">
      <c r="A20" s="513" t="s">
        <v>343</v>
      </c>
      <c r="B20" s="514" t="s">
        <v>344</v>
      </c>
      <c r="C20" s="514" t="s">
        <v>345</v>
      </c>
      <c r="D20" s="514" t="s">
        <v>342</v>
      </c>
    </row>
    <row r="21" spans="1:4" ht="39.6">
      <c r="A21" s="513" t="s">
        <v>346</v>
      </c>
      <c r="B21" s="514" t="s">
        <v>347</v>
      </c>
      <c r="C21" s="514" t="s">
        <v>348</v>
      </c>
      <c r="D21" s="514" t="s">
        <v>342</v>
      </c>
    </row>
    <row r="22" spans="1:4" ht="26.4">
      <c r="A22" s="513" t="s">
        <v>349</v>
      </c>
      <c r="B22" s="514" t="s">
        <v>350</v>
      </c>
      <c r="C22" s="514" t="s">
        <v>351</v>
      </c>
      <c r="D22" s="514" t="s">
        <v>342</v>
      </c>
    </row>
    <row r="23" spans="1:4" ht="39.6">
      <c r="A23" s="513" t="s">
        <v>352</v>
      </c>
      <c r="B23" s="514" t="s">
        <v>353</v>
      </c>
      <c r="C23" s="514" t="s">
        <v>354</v>
      </c>
      <c r="D23" s="514" t="s">
        <v>342</v>
      </c>
    </row>
    <row r="24" spans="1:4" ht="52.8">
      <c r="A24" s="513" t="s">
        <v>355</v>
      </c>
      <c r="B24" s="514" t="s">
        <v>356</v>
      </c>
      <c r="C24" s="514" t="s">
        <v>357</v>
      </c>
      <c r="D24" s="514" t="s">
        <v>342</v>
      </c>
    </row>
    <row r="25" spans="1:4" ht="52.8">
      <c r="A25" s="513" t="s">
        <v>358</v>
      </c>
      <c r="B25" s="514" t="s">
        <v>359</v>
      </c>
      <c r="C25" s="514" t="s">
        <v>360</v>
      </c>
      <c r="D25" s="514" t="s">
        <v>342</v>
      </c>
    </row>
  </sheetData>
  <sheetProtection password="C3C4" sheet="1" objects="1" scenarios="1"/>
  <mergeCells count="1">
    <mergeCell ref="A1:D1"/>
  </mergeCells>
  <pageMargins left="0.5" right="0.5" top="0.5" bottom="0.5" header="0.5" footer="0.5"/>
  <pageSetup scale="69" fitToHeight="0" orientation="landscape" r:id="rId1"/>
  <headerFooter>
    <oddFooter>&amp;RRev 02-13-19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FE92F-EF2E-44AB-8E75-F94809E5BFD0}">
  <sheetPr>
    <pageSetUpPr fitToPage="1"/>
  </sheetPr>
  <dimension ref="A1:AG367"/>
  <sheetViews>
    <sheetView workbookViewId="0"/>
  </sheetViews>
  <sheetFormatPr defaultColWidth="8.33203125" defaultRowHeight="13.2"/>
  <cols>
    <col min="1" max="1" width="7.88671875" style="527" customWidth="1"/>
    <col min="2" max="2" width="43.6640625" style="514" customWidth="1"/>
    <col min="3" max="3" width="52.33203125" style="514" customWidth="1"/>
    <col min="4" max="4" width="12.44140625" style="514" customWidth="1"/>
    <col min="5" max="5" width="70.6640625" style="514" customWidth="1"/>
    <col min="6" max="33" width="8.33203125" style="529"/>
    <col min="34" max="16384" width="8.33203125" style="139"/>
  </cols>
  <sheetData>
    <row r="1" spans="1:33" s="526" customFormat="1" ht="26.4">
      <c r="A1" s="524" t="s">
        <v>361</v>
      </c>
      <c r="B1" s="524" t="s">
        <v>362</v>
      </c>
      <c r="C1" s="524" t="s">
        <v>363</v>
      </c>
      <c r="D1" s="524" t="s">
        <v>364</v>
      </c>
      <c r="E1" s="524" t="s">
        <v>290</v>
      </c>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row>
    <row r="2" spans="1:33" s="526" customFormat="1" ht="72" customHeight="1">
      <c r="A2" s="513" t="s">
        <v>365</v>
      </c>
      <c r="B2" s="513" t="s">
        <v>366</v>
      </c>
      <c r="C2" s="513" t="s">
        <v>367</v>
      </c>
      <c r="D2" s="513" t="s">
        <v>367</v>
      </c>
      <c r="E2" s="513" t="s">
        <v>368</v>
      </c>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row>
    <row r="3" spans="1:33" s="530" customFormat="1" ht="66">
      <c r="A3" s="527" t="s">
        <v>365</v>
      </c>
      <c r="B3" s="514" t="s">
        <v>369</v>
      </c>
      <c r="C3" s="514" t="s">
        <v>369</v>
      </c>
      <c r="D3" s="514" t="s">
        <v>370</v>
      </c>
      <c r="E3" s="528" t="s">
        <v>371</v>
      </c>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row>
    <row r="4" spans="1:33" s="530" customFormat="1" ht="26.4">
      <c r="A4" s="531" t="s">
        <v>372</v>
      </c>
      <c r="B4" s="532" t="s">
        <v>369</v>
      </c>
      <c r="C4" s="532" t="s">
        <v>373</v>
      </c>
      <c r="D4" s="532" t="s">
        <v>370</v>
      </c>
      <c r="E4" s="532" t="s">
        <v>374</v>
      </c>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row>
    <row r="5" spans="1:33" s="533" customFormat="1" ht="39.6">
      <c r="A5" s="531" t="s">
        <v>372</v>
      </c>
      <c r="B5" s="532" t="s">
        <v>369</v>
      </c>
      <c r="C5" s="532" t="s">
        <v>375</v>
      </c>
      <c r="D5" s="532" t="s">
        <v>370</v>
      </c>
      <c r="E5" s="532" t="s">
        <v>376</v>
      </c>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row>
    <row r="6" spans="1:33" s="533" customFormat="1" ht="92.4">
      <c r="A6" s="527" t="s">
        <v>365</v>
      </c>
      <c r="B6" s="514" t="s">
        <v>377</v>
      </c>
      <c r="C6" s="514" t="s">
        <v>377</v>
      </c>
      <c r="D6" s="514" t="s">
        <v>370</v>
      </c>
      <c r="E6" s="528" t="s">
        <v>378</v>
      </c>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row>
    <row r="7" spans="1:33" s="533" customFormat="1">
      <c r="A7" s="531" t="s">
        <v>372</v>
      </c>
      <c r="B7" s="532" t="s">
        <v>377</v>
      </c>
      <c r="C7" s="532" t="s">
        <v>379</v>
      </c>
      <c r="D7" s="532" t="s">
        <v>370</v>
      </c>
      <c r="E7" s="532" t="s">
        <v>380</v>
      </c>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8" spans="1:33" s="533" customFormat="1" ht="26.4">
      <c r="A8" s="531" t="s">
        <v>372</v>
      </c>
      <c r="B8" s="532" t="s">
        <v>377</v>
      </c>
      <c r="C8" s="532" t="s">
        <v>381</v>
      </c>
      <c r="D8" s="532" t="s">
        <v>370</v>
      </c>
      <c r="E8" s="532" t="s">
        <v>382</v>
      </c>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row>
    <row r="9" spans="1:33" s="533" customFormat="1" ht="26.4">
      <c r="A9" s="531" t="s">
        <v>372</v>
      </c>
      <c r="B9" s="532" t="s">
        <v>377</v>
      </c>
      <c r="C9" s="532" t="s">
        <v>383</v>
      </c>
      <c r="D9" s="532" t="s">
        <v>370</v>
      </c>
      <c r="E9" s="532" t="s">
        <v>384</v>
      </c>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row>
    <row r="10" spans="1:33" s="533" customFormat="1" ht="105.6">
      <c r="A10" s="527" t="s">
        <v>365</v>
      </c>
      <c r="B10" s="514" t="s">
        <v>385</v>
      </c>
      <c r="C10" s="514" t="s">
        <v>385</v>
      </c>
      <c r="D10" s="514" t="s">
        <v>370</v>
      </c>
      <c r="E10" s="528" t="s">
        <v>386</v>
      </c>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row>
    <row r="11" spans="1:33" s="533" customFormat="1" ht="39.6">
      <c r="A11" s="531" t="s">
        <v>372</v>
      </c>
      <c r="B11" s="532" t="s">
        <v>385</v>
      </c>
      <c r="C11" s="532" t="s">
        <v>387</v>
      </c>
      <c r="D11" s="532" t="s">
        <v>370</v>
      </c>
      <c r="E11" s="532" t="s">
        <v>388</v>
      </c>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row>
    <row r="12" spans="1:33" s="533" customFormat="1">
      <c r="A12" s="531" t="s">
        <v>372</v>
      </c>
      <c r="B12" s="532" t="s">
        <v>385</v>
      </c>
      <c r="C12" s="532" t="s">
        <v>389</v>
      </c>
      <c r="D12" s="532" t="s">
        <v>370</v>
      </c>
      <c r="E12" s="532" t="s">
        <v>390</v>
      </c>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row>
    <row r="13" spans="1:33" s="533" customFormat="1">
      <c r="A13" s="531" t="s">
        <v>372</v>
      </c>
      <c r="B13" s="532" t="s">
        <v>385</v>
      </c>
      <c r="C13" s="532" t="s">
        <v>391</v>
      </c>
      <c r="D13" s="532" t="s">
        <v>370</v>
      </c>
      <c r="E13" s="532" t="s">
        <v>392</v>
      </c>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row>
    <row r="14" spans="1:33" s="533" customFormat="1" ht="39.6">
      <c r="A14" s="531" t="s">
        <v>372</v>
      </c>
      <c r="B14" s="532" t="s">
        <v>385</v>
      </c>
      <c r="C14" s="532" t="s">
        <v>393</v>
      </c>
      <c r="D14" s="532" t="s">
        <v>370</v>
      </c>
      <c r="E14" s="532" t="s">
        <v>394</v>
      </c>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row>
    <row r="15" spans="1:33" s="533" customFormat="1">
      <c r="A15" s="531" t="s">
        <v>372</v>
      </c>
      <c r="B15" s="532" t="s">
        <v>385</v>
      </c>
      <c r="C15" s="532" t="s">
        <v>395</v>
      </c>
      <c r="D15" s="532" t="s">
        <v>370</v>
      </c>
      <c r="E15" s="532" t="s">
        <v>396</v>
      </c>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row>
    <row r="16" spans="1:33" s="533" customFormat="1">
      <c r="A16" s="531" t="s">
        <v>372</v>
      </c>
      <c r="B16" s="532" t="s">
        <v>385</v>
      </c>
      <c r="C16" s="532" t="s">
        <v>397</v>
      </c>
      <c r="D16" s="532" t="s">
        <v>370</v>
      </c>
      <c r="E16" s="532" t="s">
        <v>398</v>
      </c>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row>
    <row r="17" spans="1:33" s="533" customFormat="1" ht="26.4">
      <c r="A17" s="527" t="s">
        <v>365</v>
      </c>
      <c r="B17" s="514" t="s">
        <v>399</v>
      </c>
      <c r="C17" s="514" t="s">
        <v>399</v>
      </c>
      <c r="D17" s="514" t="s">
        <v>400</v>
      </c>
      <c r="E17" s="528" t="s">
        <v>401</v>
      </c>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row>
    <row r="18" spans="1:33" s="533" customFormat="1" ht="26.4">
      <c r="A18" s="531" t="s">
        <v>372</v>
      </c>
      <c r="B18" s="532" t="s">
        <v>399</v>
      </c>
      <c r="C18" s="532" t="s">
        <v>402</v>
      </c>
      <c r="D18" s="532" t="s">
        <v>400</v>
      </c>
      <c r="E18" s="532" t="s">
        <v>403</v>
      </c>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row>
    <row r="19" spans="1:33" s="533" customFormat="1" ht="52.8">
      <c r="A19" s="531" t="s">
        <v>372</v>
      </c>
      <c r="B19" s="532" t="s">
        <v>399</v>
      </c>
      <c r="C19" s="532" t="s">
        <v>404</v>
      </c>
      <c r="D19" s="532" t="s">
        <v>400</v>
      </c>
      <c r="E19" s="532" t="s">
        <v>405</v>
      </c>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row>
    <row r="20" spans="1:33" s="533" customFormat="1" ht="26.4">
      <c r="A20" s="531" t="s">
        <v>372</v>
      </c>
      <c r="B20" s="532" t="s">
        <v>399</v>
      </c>
      <c r="C20" s="532" t="s">
        <v>406</v>
      </c>
      <c r="D20" s="532" t="s">
        <v>400</v>
      </c>
      <c r="E20" s="532" t="s">
        <v>407</v>
      </c>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row>
    <row r="21" spans="1:33" s="533" customFormat="1" ht="26.4">
      <c r="A21" s="531" t="s">
        <v>372</v>
      </c>
      <c r="B21" s="532" t="s">
        <v>399</v>
      </c>
      <c r="C21" s="532" t="s">
        <v>408</v>
      </c>
      <c r="D21" s="532" t="s">
        <v>400</v>
      </c>
      <c r="E21" s="532" t="s">
        <v>409</v>
      </c>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row>
    <row r="22" spans="1:33" s="533" customFormat="1">
      <c r="A22" s="531" t="s">
        <v>372</v>
      </c>
      <c r="B22" s="532" t="s">
        <v>399</v>
      </c>
      <c r="C22" s="532" t="s">
        <v>410</v>
      </c>
      <c r="D22" s="532" t="s">
        <v>400</v>
      </c>
      <c r="E22" s="532" t="s">
        <v>411</v>
      </c>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row>
    <row r="23" spans="1:33" s="533" customFormat="1" ht="26.4">
      <c r="A23" s="531" t="s">
        <v>372</v>
      </c>
      <c r="B23" s="532" t="s">
        <v>399</v>
      </c>
      <c r="C23" s="532" t="s">
        <v>412</v>
      </c>
      <c r="D23" s="532" t="s">
        <v>400</v>
      </c>
      <c r="E23" s="532" t="s">
        <v>413</v>
      </c>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row>
    <row r="24" spans="1:33" s="533" customFormat="1" ht="26.4">
      <c r="A24" s="531" t="s">
        <v>372</v>
      </c>
      <c r="B24" s="532" t="s">
        <v>399</v>
      </c>
      <c r="C24" s="532" t="s">
        <v>414</v>
      </c>
      <c r="D24" s="532" t="s">
        <v>400</v>
      </c>
      <c r="E24" s="532" t="s">
        <v>415</v>
      </c>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row>
    <row r="25" spans="1:33" s="533" customFormat="1" ht="92.4">
      <c r="A25" s="527" t="s">
        <v>365</v>
      </c>
      <c r="B25" s="514" t="s">
        <v>416</v>
      </c>
      <c r="C25" s="514" t="s">
        <v>416</v>
      </c>
      <c r="D25" s="514" t="s">
        <v>370</v>
      </c>
      <c r="E25" s="528" t="s">
        <v>417</v>
      </c>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row>
    <row r="26" spans="1:33" s="533" customFormat="1" ht="26.4">
      <c r="A26" s="534" t="s">
        <v>372</v>
      </c>
      <c r="B26" s="535" t="s">
        <v>416</v>
      </c>
      <c r="C26" s="535" t="s">
        <v>418</v>
      </c>
      <c r="D26" s="535" t="s">
        <v>370</v>
      </c>
      <c r="E26" s="535" t="s">
        <v>419</v>
      </c>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row>
    <row r="27" spans="1:33" s="533" customFormat="1" ht="171.6">
      <c r="A27" s="527" t="s">
        <v>365</v>
      </c>
      <c r="B27" s="514" t="s">
        <v>420</v>
      </c>
      <c r="C27" s="514" t="s">
        <v>420</v>
      </c>
      <c r="D27" s="514" t="s">
        <v>370</v>
      </c>
      <c r="E27" s="528" t="s">
        <v>421</v>
      </c>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row>
    <row r="28" spans="1:33" s="533" customFormat="1" ht="39.6">
      <c r="A28" s="527" t="s">
        <v>365</v>
      </c>
      <c r="B28" s="514" t="s">
        <v>422</v>
      </c>
      <c r="C28" s="514" t="s">
        <v>422</v>
      </c>
      <c r="D28" s="514" t="s">
        <v>400</v>
      </c>
      <c r="E28" s="528" t="s">
        <v>423</v>
      </c>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row>
    <row r="29" spans="1:33" s="533" customFormat="1" ht="26.4">
      <c r="A29" s="531" t="s">
        <v>372</v>
      </c>
      <c r="B29" s="532" t="s">
        <v>422</v>
      </c>
      <c r="C29" s="532" t="s">
        <v>424</v>
      </c>
      <c r="D29" s="532" t="s">
        <v>400</v>
      </c>
      <c r="E29" s="532" t="s">
        <v>425</v>
      </c>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row>
    <row r="30" spans="1:33" s="533" customFormat="1" ht="39.6">
      <c r="A30" s="531" t="s">
        <v>372</v>
      </c>
      <c r="B30" s="532" t="s">
        <v>422</v>
      </c>
      <c r="C30" s="532" t="s">
        <v>426</v>
      </c>
      <c r="D30" s="532" t="s">
        <v>400</v>
      </c>
      <c r="E30" s="532" t="s">
        <v>427</v>
      </c>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row>
    <row r="31" spans="1:33" s="533" customFormat="1" ht="52.8">
      <c r="A31" s="531" t="s">
        <v>372</v>
      </c>
      <c r="B31" s="532" t="s">
        <v>422</v>
      </c>
      <c r="C31" s="532" t="s">
        <v>428</v>
      </c>
      <c r="D31" s="532" t="s">
        <v>400</v>
      </c>
      <c r="E31" s="532" t="s">
        <v>429</v>
      </c>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row>
    <row r="32" spans="1:33" s="533" customFormat="1" ht="26.4">
      <c r="A32" s="531" t="s">
        <v>372</v>
      </c>
      <c r="B32" s="532" t="s">
        <v>422</v>
      </c>
      <c r="C32" s="532" t="s">
        <v>430</v>
      </c>
      <c r="D32" s="532" t="s">
        <v>400</v>
      </c>
      <c r="E32" s="532" t="s">
        <v>431</v>
      </c>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row>
    <row r="33" spans="1:33" s="533" customFormat="1">
      <c r="A33" s="531" t="s">
        <v>372</v>
      </c>
      <c r="B33" s="532" t="s">
        <v>422</v>
      </c>
      <c r="C33" s="532" t="s">
        <v>432</v>
      </c>
      <c r="D33" s="532" t="s">
        <v>400</v>
      </c>
      <c r="E33" s="532" t="s">
        <v>433</v>
      </c>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row>
    <row r="34" spans="1:33" s="533" customFormat="1" ht="39.6">
      <c r="A34" s="531" t="s">
        <v>372</v>
      </c>
      <c r="B34" s="532" t="s">
        <v>422</v>
      </c>
      <c r="C34" s="532" t="s">
        <v>434</v>
      </c>
      <c r="D34" s="532" t="s">
        <v>400</v>
      </c>
      <c r="E34" s="532" t="s">
        <v>435</v>
      </c>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row>
    <row r="35" spans="1:33" s="533" customFormat="1" ht="26.4">
      <c r="A35" s="531" t="s">
        <v>372</v>
      </c>
      <c r="B35" s="532" t="s">
        <v>422</v>
      </c>
      <c r="C35" s="532" t="s">
        <v>436</v>
      </c>
      <c r="D35" s="532" t="s">
        <v>400</v>
      </c>
      <c r="E35" s="532" t="s">
        <v>437</v>
      </c>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row>
    <row r="36" spans="1:33" s="533" customFormat="1" ht="39.6">
      <c r="A36" s="531" t="s">
        <v>372</v>
      </c>
      <c r="B36" s="532" t="s">
        <v>422</v>
      </c>
      <c r="C36" s="532" t="s">
        <v>438</v>
      </c>
      <c r="D36" s="532" t="s">
        <v>400</v>
      </c>
      <c r="E36" s="532" t="s">
        <v>439</v>
      </c>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row>
    <row r="37" spans="1:33" s="533" customFormat="1" ht="52.8">
      <c r="A37" s="531" t="s">
        <v>372</v>
      </c>
      <c r="B37" s="532" t="s">
        <v>422</v>
      </c>
      <c r="C37" s="532" t="s">
        <v>440</v>
      </c>
      <c r="D37" s="532" t="s">
        <v>400</v>
      </c>
      <c r="E37" s="532" t="s">
        <v>441</v>
      </c>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row>
    <row r="38" spans="1:33" s="533" customFormat="1" ht="26.4">
      <c r="A38" s="531" t="s">
        <v>372</v>
      </c>
      <c r="B38" s="532" t="s">
        <v>422</v>
      </c>
      <c r="C38" s="532" t="s">
        <v>442</v>
      </c>
      <c r="D38" s="532" t="s">
        <v>400</v>
      </c>
      <c r="E38" s="532" t="s">
        <v>443</v>
      </c>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row>
    <row r="39" spans="1:33" s="533" customFormat="1" ht="26.4">
      <c r="A39" s="531" t="s">
        <v>372</v>
      </c>
      <c r="B39" s="532" t="s">
        <v>422</v>
      </c>
      <c r="C39" s="532" t="s">
        <v>444</v>
      </c>
      <c r="D39" s="532" t="s">
        <v>400</v>
      </c>
      <c r="E39" s="532" t="s">
        <v>445</v>
      </c>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row>
    <row r="40" spans="1:33" s="533" customFormat="1" ht="39.6">
      <c r="A40" s="531" t="s">
        <v>372</v>
      </c>
      <c r="B40" s="536" t="s">
        <v>422</v>
      </c>
      <c r="C40" s="536" t="s">
        <v>446</v>
      </c>
      <c r="D40" s="532" t="s">
        <v>400</v>
      </c>
      <c r="E40" s="536" t="s">
        <v>447</v>
      </c>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row>
    <row r="41" spans="1:33" s="533" customFormat="1" ht="26.4">
      <c r="A41" s="531" t="s">
        <v>372</v>
      </c>
      <c r="B41" s="532" t="s">
        <v>422</v>
      </c>
      <c r="C41" s="532" t="s">
        <v>448</v>
      </c>
      <c r="D41" s="532" t="s">
        <v>400</v>
      </c>
      <c r="E41" s="532" t="s">
        <v>449</v>
      </c>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row>
    <row r="42" spans="1:33" s="533" customFormat="1" ht="52.8">
      <c r="A42" s="537" t="s">
        <v>365</v>
      </c>
      <c r="B42" s="538" t="s">
        <v>450</v>
      </c>
      <c r="C42" s="538" t="s">
        <v>450</v>
      </c>
      <c r="D42" s="538" t="s">
        <v>370</v>
      </c>
      <c r="E42" s="538" t="s">
        <v>451</v>
      </c>
      <c r="F42" s="529"/>
      <c r="G42" s="529"/>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row>
    <row r="43" spans="1:33" s="533" customFormat="1">
      <c r="A43" s="537" t="s">
        <v>372</v>
      </c>
      <c r="B43" s="538" t="s">
        <v>450</v>
      </c>
      <c r="C43" s="538" t="s">
        <v>452</v>
      </c>
      <c r="D43" s="538" t="s">
        <v>370</v>
      </c>
      <c r="E43" s="538" t="s">
        <v>453</v>
      </c>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row>
    <row r="44" spans="1:33" s="533" customFormat="1">
      <c r="A44" s="537" t="s">
        <v>372</v>
      </c>
      <c r="B44" s="538" t="s">
        <v>450</v>
      </c>
      <c r="C44" s="538" t="s">
        <v>454</v>
      </c>
      <c r="D44" s="538" t="s">
        <v>370</v>
      </c>
      <c r="E44" s="538" t="s">
        <v>455</v>
      </c>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row>
    <row r="45" spans="1:33" s="533" customFormat="1" ht="79.2">
      <c r="A45" s="527" t="s">
        <v>365</v>
      </c>
      <c r="B45" s="514" t="s">
        <v>456</v>
      </c>
      <c r="C45" s="514" t="s">
        <v>456</v>
      </c>
      <c r="D45" s="514" t="s">
        <v>457</v>
      </c>
      <c r="E45" s="539" t="s">
        <v>458</v>
      </c>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row>
    <row r="46" spans="1:33" s="533" customFormat="1">
      <c r="A46" s="531" t="s">
        <v>372</v>
      </c>
      <c r="B46" s="532" t="s">
        <v>456</v>
      </c>
      <c r="C46" s="532" t="s">
        <v>459</v>
      </c>
      <c r="D46" s="532" t="s">
        <v>457</v>
      </c>
      <c r="E46" s="532" t="s">
        <v>460</v>
      </c>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row>
    <row r="47" spans="1:33" s="533" customFormat="1">
      <c r="A47" s="531" t="s">
        <v>372</v>
      </c>
      <c r="B47" s="532" t="s">
        <v>456</v>
      </c>
      <c r="C47" s="532" t="s">
        <v>461</v>
      </c>
      <c r="D47" s="532" t="s">
        <v>457</v>
      </c>
      <c r="E47" s="532" t="s">
        <v>462</v>
      </c>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row>
    <row r="48" spans="1:33" s="533" customFormat="1" ht="39.6">
      <c r="A48" s="527" t="s">
        <v>365</v>
      </c>
      <c r="B48" s="514" t="s">
        <v>463</v>
      </c>
      <c r="C48" s="514" t="s">
        <v>463</v>
      </c>
      <c r="D48" s="514" t="s">
        <v>464</v>
      </c>
      <c r="E48" s="528" t="s">
        <v>465</v>
      </c>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row>
    <row r="49" spans="1:33" s="533" customFormat="1" ht="26.4">
      <c r="A49" s="531" t="s">
        <v>372</v>
      </c>
      <c r="B49" s="532" t="s">
        <v>463</v>
      </c>
      <c r="C49" s="532" t="s">
        <v>466</v>
      </c>
      <c r="D49" s="532" t="s">
        <v>464</v>
      </c>
      <c r="E49" s="532" t="s">
        <v>467</v>
      </c>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row>
    <row r="50" spans="1:33" s="533" customFormat="1" ht="52.8">
      <c r="A50" s="531" t="s">
        <v>372</v>
      </c>
      <c r="B50" s="532" t="s">
        <v>463</v>
      </c>
      <c r="C50" s="532" t="s">
        <v>468</v>
      </c>
      <c r="D50" s="532" t="s">
        <v>464</v>
      </c>
      <c r="E50" s="532" t="s">
        <v>469</v>
      </c>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row>
    <row r="51" spans="1:33" s="533" customFormat="1" ht="39.6">
      <c r="A51" s="531" t="s">
        <v>372</v>
      </c>
      <c r="B51" s="532" t="s">
        <v>463</v>
      </c>
      <c r="C51" s="532" t="s">
        <v>470</v>
      </c>
      <c r="D51" s="532" t="s">
        <v>464</v>
      </c>
      <c r="E51" s="532" t="s">
        <v>471</v>
      </c>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row>
    <row r="52" spans="1:33" s="533" customFormat="1" ht="26.4">
      <c r="A52" s="531" t="s">
        <v>372</v>
      </c>
      <c r="B52" s="532" t="s">
        <v>463</v>
      </c>
      <c r="C52" s="532" t="s">
        <v>472</v>
      </c>
      <c r="D52" s="532" t="s">
        <v>464</v>
      </c>
      <c r="E52" s="532" t="s">
        <v>473</v>
      </c>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row>
    <row r="53" spans="1:33" s="533" customFormat="1" ht="39.6">
      <c r="A53" s="531" t="s">
        <v>372</v>
      </c>
      <c r="B53" s="532" t="s">
        <v>463</v>
      </c>
      <c r="C53" s="532" t="s">
        <v>474</v>
      </c>
      <c r="D53" s="532" t="s">
        <v>464</v>
      </c>
      <c r="E53" s="532" t="s">
        <v>475</v>
      </c>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row>
    <row r="54" spans="1:33" s="533" customFormat="1" ht="26.4">
      <c r="A54" s="531" t="s">
        <v>372</v>
      </c>
      <c r="B54" s="532" t="s">
        <v>463</v>
      </c>
      <c r="C54" s="532" t="s">
        <v>476</v>
      </c>
      <c r="D54" s="532" t="s">
        <v>464</v>
      </c>
      <c r="E54" s="532" t="s">
        <v>477</v>
      </c>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row>
    <row r="55" spans="1:33" s="533" customFormat="1" ht="26.4">
      <c r="A55" s="531" t="s">
        <v>372</v>
      </c>
      <c r="B55" s="532" t="s">
        <v>463</v>
      </c>
      <c r="C55" s="532" t="s">
        <v>478</v>
      </c>
      <c r="D55" s="532" t="s">
        <v>464</v>
      </c>
      <c r="E55" s="532" t="s">
        <v>479</v>
      </c>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row>
    <row r="56" spans="1:33" s="533" customFormat="1" ht="39.6">
      <c r="A56" s="540" t="s">
        <v>365</v>
      </c>
      <c r="B56" s="513" t="s">
        <v>480</v>
      </c>
      <c r="C56" s="513" t="s">
        <v>481</v>
      </c>
      <c r="D56" s="513" t="s">
        <v>482</v>
      </c>
      <c r="E56" s="539" t="s">
        <v>465</v>
      </c>
      <c r="F56" s="529"/>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row>
    <row r="57" spans="1:33" s="533" customFormat="1" ht="26.4">
      <c r="A57" s="531" t="s">
        <v>372</v>
      </c>
      <c r="B57" s="532" t="s">
        <v>480</v>
      </c>
      <c r="C57" s="532" t="s">
        <v>483</v>
      </c>
      <c r="D57" s="532" t="s">
        <v>482</v>
      </c>
      <c r="E57" s="532" t="s">
        <v>467</v>
      </c>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row>
    <row r="58" spans="1:33" s="533" customFormat="1" ht="52.8">
      <c r="A58" s="531" t="s">
        <v>372</v>
      </c>
      <c r="B58" s="532" t="s">
        <v>480</v>
      </c>
      <c r="C58" s="532" t="s">
        <v>484</v>
      </c>
      <c r="D58" s="532" t="s">
        <v>482</v>
      </c>
      <c r="E58" s="532" t="s">
        <v>469</v>
      </c>
      <c r="F58" s="529"/>
      <c r="G58" s="529"/>
      <c r="H58" s="529"/>
      <c r="I58" s="529"/>
      <c r="J58" s="529"/>
      <c r="K58" s="529"/>
      <c r="L58" s="529"/>
      <c r="M58" s="529"/>
      <c r="N58" s="529"/>
      <c r="O58" s="529"/>
      <c r="P58" s="529"/>
      <c r="Q58" s="529"/>
      <c r="R58" s="529"/>
      <c r="S58" s="529"/>
      <c r="T58" s="529"/>
      <c r="U58" s="529"/>
      <c r="V58" s="529"/>
      <c r="W58" s="529"/>
      <c r="X58" s="529"/>
      <c r="Y58" s="529"/>
      <c r="Z58" s="529"/>
      <c r="AA58" s="529"/>
      <c r="AB58" s="529"/>
      <c r="AC58" s="529"/>
      <c r="AD58" s="529"/>
      <c r="AE58" s="529"/>
      <c r="AF58" s="529"/>
      <c r="AG58" s="529"/>
    </row>
    <row r="59" spans="1:33" s="533" customFormat="1" ht="39.6">
      <c r="A59" s="531" t="s">
        <v>372</v>
      </c>
      <c r="B59" s="532" t="s">
        <v>480</v>
      </c>
      <c r="C59" s="532" t="s">
        <v>485</v>
      </c>
      <c r="D59" s="532" t="s">
        <v>482</v>
      </c>
      <c r="E59" s="532" t="s">
        <v>471</v>
      </c>
      <c r="F59" s="529"/>
      <c r="G59" s="529"/>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row>
    <row r="60" spans="1:33" s="533" customFormat="1" ht="26.4">
      <c r="A60" s="531" t="s">
        <v>372</v>
      </c>
      <c r="B60" s="532" t="s">
        <v>480</v>
      </c>
      <c r="C60" s="532" t="s">
        <v>486</v>
      </c>
      <c r="D60" s="532" t="s">
        <v>482</v>
      </c>
      <c r="E60" s="532" t="s">
        <v>473</v>
      </c>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row>
    <row r="61" spans="1:33" s="533" customFormat="1" ht="39.6">
      <c r="A61" s="531" t="s">
        <v>372</v>
      </c>
      <c r="B61" s="532" t="s">
        <v>480</v>
      </c>
      <c r="C61" s="532" t="s">
        <v>487</v>
      </c>
      <c r="D61" s="532" t="s">
        <v>482</v>
      </c>
      <c r="E61" s="532" t="s">
        <v>475</v>
      </c>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row>
    <row r="62" spans="1:33" s="533" customFormat="1" ht="26.4">
      <c r="A62" s="531" t="s">
        <v>372</v>
      </c>
      <c r="B62" s="532" t="s">
        <v>480</v>
      </c>
      <c r="C62" s="532" t="s">
        <v>488</v>
      </c>
      <c r="D62" s="532" t="s">
        <v>482</v>
      </c>
      <c r="E62" s="532" t="s">
        <v>477</v>
      </c>
      <c r="F62" s="529"/>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row>
    <row r="63" spans="1:33" s="533" customFormat="1" ht="26.4">
      <c r="A63" s="531" t="s">
        <v>372</v>
      </c>
      <c r="B63" s="532" t="s">
        <v>480</v>
      </c>
      <c r="C63" s="532" t="s">
        <v>489</v>
      </c>
      <c r="D63" s="532" t="s">
        <v>482</v>
      </c>
      <c r="E63" s="532" t="s">
        <v>479</v>
      </c>
      <c r="F63" s="529"/>
      <c r="G63" s="529"/>
      <c r="H63" s="529"/>
      <c r="I63" s="529"/>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row>
    <row r="64" spans="1:33" s="533" customFormat="1" ht="39.6">
      <c r="A64" s="527" t="s">
        <v>365</v>
      </c>
      <c r="B64" s="514" t="s">
        <v>490</v>
      </c>
      <c r="C64" s="514" t="s">
        <v>490</v>
      </c>
      <c r="D64" s="514" t="s">
        <v>464</v>
      </c>
      <c r="E64" s="528" t="s">
        <v>491</v>
      </c>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row>
    <row r="65" spans="1:33" s="533" customFormat="1" ht="26.4">
      <c r="A65" s="531" t="s">
        <v>372</v>
      </c>
      <c r="B65" s="532" t="s">
        <v>490</v>
      </c>
      <c r="C65" s="532" t="s">
        <v>492</v>
      </c>
      <c r="D65" s="532" t="s">
        <v>464</v>
      </c>
      <c r="E65" s="532" t="s">
        <v>493</v>
      </c>
      <c r="F65" s="529"/>
      <c r="G65" s="529"/>
      <c r="H65" s="529"/>
      <c r="I65" s="529"/>
      <c r="J65" s="529"/>
      <c r="K65" s="529"/>
      <c r="L65" s="529"/>
      <c r="M65" s="529"/>
      <c r="N65" s="529"/>
      <c r="O65" s="529"/>
      <c r="P65" s="529"/>
      <c r="Q65" s="529"/>
      <c r="R65" s="529"/>
      <c r="S65" s="529"/>
      <c r="T65" s="529"/>
      <c r="U65" s="529"/>
      <c r="V65" s="529"/>
      <c r="W65" s="529"/>
      <c r="X65" s="529"/>
      <c r="Y65" s="529"/>
      <c r="Z65" s="529"/>
      <c r="AA65" s="529"/>
      <c r="AB65" s="529"/>
      <c r="AC65" s="529"/>
      <c r="AD65" s="529"/>
      <c r="AE65" s="529"/>
      <c r="AF65" s="529"/>
      <c r="AG65" s="529"/>
    </row>
    <row r="66" spans="1:33" s="533" customFormat="1" ht="52.8">
      <c r="A66" s="531" t="s">
        <v>372</v>
      </c>
      <c r="B66" s="532" t="s">
        <v>490</v>
      </c>
      <c r="C66" s="532" t="s">
        <v>494</v>
      </c>
      <c r="D66" s="532" t="s">
        <v>464</v>
      </c>
      <c r="E66" s="532" t="s">
        <v>495</v>
      </c>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row>
    <row r="67" spans="1:33" s="533" customFormat="1" ht="39.6">
      <c r="A67" s="531" t="s">
        <v>372</v>
      </c>
      <c r="B67" s="532" t="s">
        <v>490</v>
      </c>
      <c r="C67" s="532" t="s">
        <v>496</v>
      </c>
      <c r="D67" s="532" t="s">
        <v>464</v>
      </c>
      <c r="E67" s="532" t="s">
        <v>497</v>
      </c>
      <c r="F67" s="529"/>
      <c r="G67" s="529"/>
      <c r="H67" s="529"/>
      <c r="I67" s="529"/>
      <c r="J67" s="529"/>
      <c r="K67" s="529"/>
      <c r="L67" s="529"/>
      <c r="M67" s="529"/>
      <c r="N67" s="529"/>
      <c r="O67" s="529"/>
      <c r="P67" s="529"/>
      <c r="Q67" s="529"/>
      <c r="R67" s="529"/>
      <c r="S67" s="529"/>
      <c r="T67" s="529"/>
      <c r="U67" s="529"/>
      <c r="V67" s="529"/>
      <c r="W67" s="529"/>
      <c r="X67" s="529"/>
      <c r="Y67" s="529"/>
      <c r="Z67" s="529"/>
      <c r="AA67" s="529"/>
      <c r="AB67" s="529"/>
      <c r="AC67" s="529"/>
      <c r="AD67" s="529"/>
      <c r="AE67" s="529"/>
      <c r="AF67" s="529"/>
      <c r="AG67" s="529"/>
    </row>
    <row r="68" spans="1:33" s="533" customFormat="1" ht="26.4">
      <c r="A68" s="531" t="s">
        <v>372</v>
      </c>
      <c r="B68" s="532" t="s">
        <v>490</v>
      </c>
      <c r="C68" s="532" t="s">
        <v>498</v>
      </c>
      <c r="D68" s="532" t="s">
        <v>464</v>
      </c>
      <c r="E68" s="532" t="s">
        <v>499</v>
      </c>
      <c r="F68" s="529"/>
      <c r="G68" s="529"/>
      <c r="H68" s="529"/>
      <c r="I68" s="529"/>
      <c r="J68" s="529"/>
      <c r="K68" s="529"/>
      <c r="L68" s="529"/>
      <c r="M68" s="529"/>
      <c r="N68" s="529"/>
      <c r="O68" s="529"/>
      <c r="P68" s="529"/>
      <c r="Q68" s="529"/>
      <c r="R68" s="529"/>
      <c r="S68" s="529"/>
      <c r="T68" s="529"/>
      <c r="U68" s="529"/>
      <c r="V68" s="529"/>
      <c r="W68" s="529"/>
      <c r="X68" s="529"/>
      <c r="Y68" s="529"/>
      <c r="Z68" s="529"/>
      <c r="AA68" s="529"/>
      <c r="AB68" s="529"/>
      <c r="AC68" s="529"/>
      <c r="AD68" s="529"/>
      <c r="AE68" s="529"/>
      <c r="AF68" s="529"/>
      <c r="AG68" s="529"/>
    </row>
    <row r="69" spans="1:33" s="533" customFormat="1" ht="39.6">
      <c r="A69" s="531" t="s">
        <v>372</v>
      </c>
      <c r="B69" s="532" t="s">
        <v>490</v>
      </c>
      <c r="C69" s="532" t="s">
        <v>500</v>
      </c>
      <c r="D69" s="532" t="s">
        <v>464</v>
      </c>
      <c r="E69" s="532" t="s">
        <v>501</v>
      </c>
      <c r="F69" s="529"/>
      <c r="G69" s="529"/>
      <c r="H69" s="529"/>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row>
    <row r="70" spans="1:33" s="533" customFormat="1" ht="26.4">
      <c r="A70" s="531" t="s">
        <v>372</v>
      </c>
      <c r="B70" s="532" t="s">
        <v>490</v>
      </c>
      <c r="C70" s="532" t="s">
        <v>502</v>
      </c>
      <c r="D70" s="532" t="s">
        <v>464</v>
      </c>
      <c r="E70" s="532" t="s">
        <v>503</v>
      </c>
      <c r="F70" s="529"/>
      <c r="G70" s="529"/>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row>
    <row r="71" spans="1:33" ht="26.4">
      <c r="A71" s="531" t="s">
        <v>372</v>
      </c>
      <c r="B71" s="532" t="s">
        <v>490</v>
      </c>
      <c r="C71" s="532" t="s">
        <v>504</v>
      </c>
      <c r="D71" s="532" t="s">
        <v>464</v>
      </c>
      <c r="E71" s="532" t="s">
        <v>505</v>
      </c>
    </row>
    <row r="72" spans="1:33" s="533" customFormat="1" ht="39.6">
      <c r="A72" s="540" t="s">
        <v>365</v>
      </c>
      <c r="B72" s="513" t="s">
        <v>506</v>
      </c>
      <c r="C72" s="513" t="s">
        <v>481</v>
      </c>
      <c r="D72" s="513" t="s">
        <v>482</v>
      </c>
      <c r="E72" s="539" t="s">
        <v>465</v>
      </c>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row>
    <row r="73" spans="1:33" s="533" customFormat="1" ht="26.4">
      <c r="A73" s="531" t="s">
        <v>372</v>
      </c>
      <c r="B73" s="532" t="s">
        <v>506</v>
      </c>
      <c r="C73" s="532" t="s">
        <v>507</v>
      </c>
      <c r="D73" s="532" t="s">
        <v>482</v>
      </c>
      <c r="E73" s="532" t="s">
        <v>467</v>
      </c>
      <c r="F73" s="529"/>
      <c r="G73" s="529"/>
      <c r="H73" s="529"/>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row>
    <row r="74" spans="1:33" s="533" customFormat="1" ht="52.8">
      <c r="A74" s="531" t="s">
        <v>372</v>
      </c>
      <c r="B74" s="532" t="s">
        <v>506</v>
      </c>
      <c r="C74" s="532" t="s">
        <v>508</v>
      </c>
      <c r="D74" s="532" t="s">
        <v>482</v>
      </c>
      <c r="E74" s="532" t="s">
        <v>469</v>
      </c>
      <c r="F74" s="529"/>
      <c r="G74" s="529"/>
      <c r="H74" s="529"/>
      <c r="I74" s="529"/>
      <c r="J74" s="529"/>
      <c r="K74" s="529"/>
      <c r="L74" s="529"/>
      <c r="M74" s="529"/>
      <c r="N74" s="529"/>
      <c r="O74" s="529"/>
      <c r="P74" s="529"/>
      <c r="Q74" s="529"/>
      <c r="R74" s="529"/>
      <c r="S74" s="529"/>
      <c r="T74" s="529"/>
      <c r="U74" s="529"/>
      <c r="V74" s="529"/>
      <c r="W74" s="529"/>
      <c r="X74" s="529"/>
      <c r="Y74" s="529"/>
      <c r="Z74" s="529"/>
      <c r="AA74" s="529"/>
      <c r="AB74" s="529"/>
      <c r="AC74" s="529"/>
      <c r="AD74" s="529"/>
      <c r="AE74" s="529"/>
      <c r="AF74" s="529"/>
      <c r="AG74" s="529"/>
    </row>
    <row r="75" spans="1:33" s="533" customFormat="1" ht="39.6">
      <c r="A75" s="531" t="s">
        <v>372</v>
      </c>
      <c r="B75" s="532" t="s">
        <v>506</v>
      </c>
      <c r="C75" s="532" t="s">
        <v>509</v>
      </c>
      <c r="D75" s="532" t="s">
        <v>482</v>
      </c>
      <c r="E75" s="532" t="s">
        <v>471</v>
      </c>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row>
    <row r="76" spans="1:33" s="533" customFormat="1" ht="26.4">
      <c r="A76" s="531" t="s">
        <v>372</v>
      </c>
      <c r="B76" s="532" t="s">
        <v>506</v>
      </c>
      <c r="C76" s="532" t="s">
        <v>510</v>
      </c>
      <c r="D76" s="532" t="s">
        <v>482</v>
      </c>
      <c r="E76" s="532" t="s">
        <v>473</v>
      </c>
      <c r="F76" s="529"/>
      <c r="G76" s="529"/>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row>
    <row r="77" spans="1:33" s="533" customFormat="1" ht="39.6">
      <c r="A77" s="531" t="s">
        <v>372</v>
      </c>
      <c r="B77" s="532" t="s">
        <v>506</v>
      </c>
      <c r="C77" s="532" t="s">
        <v>511</v>
      </c>
      <c r="D77" s="532" t="s">
        <v>482</v>
      </c>
      <c r="E77" s="532" t="s">
        <v>475</v>
      </c>
      <c r="F77" s="529"/>
      <c r="G77" s="529"/>
      <c r="H77" s="529"/>
      <c r="I77" s="529"/>
      <c r="J77" s="529"/>
      <c r="K77" s="529"/>
      <c r="L77" s="529"/>
      <c r="M77" s="529"/>
      <c r="N77" s="529"/>
      <c r="O77" s="529"/>
      <c r="P77" s="529"/>
      <c r="Q77" s="529"/>
      <c r="R77" s="529"/>
      <c r="S77" s="529"/>
      <c r="T77" s="529"/>
      <c r="U77" s="529"/>
      <c r="V77" s="529"/>
      <c r="W77" s="529"/>
      <c r="X77" s="529"/>
      <c r="Y77" s="529"/>
      <c r="Z77" s="529"/>
      <c r="AA77" s="529"/>
      <c r="AB77" s="529"/>
      <c r="AC77" s="529"/>
      <c r="AD77" s="529"/>
      <c r="AE77" s="529"/>
      <c r="AF77" s="529"/>
      <c r="AG77" s="529"/>
    </row>
    <row r="78" spans="1:33" s="533" customFormat="1" ht="26.4">
      <c r="A78" s="531" t="s">
        <v>372</v>
      </c>
      <c r="B78" s="532" t="s">
        <v>506</v>
      </c>
      <c r="C78" s="532" t="s">
        <v>512</v>
      </c>
      <c r="D78" s="532" t="s">
        <v>482</v>
      </c>
      <c r="E78" s="532" t="s">
        <v>477</v>
      </c>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row>
    <row r="79" spans="1:33" s="533" customFormat="1" ht="26.4">
      <c r="A79" s="531" t="s">
        <v>372</v>
      </c>
      <c r="B79" s="532" t="s">
        <v>506</v>
      </c>
      <c r="C79" s="532" t="s">
        <v>513</v>
      </c>
      <c r="D79" s="532" t="s">
        <v>482</v>
      </c>
      <c r="E79" s="532" t="s">
        <v>479</v>
      </c>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row>
    <row r="80" spans="1:33" s="533" customFormat="1" ht="39.6">
      <c r="A80" s="537" t="s">
        <v>365</v>
      </c>
      <c r="B80" s="538" t="s">
        <v>514</v>
      </c>
      <c r="C80" s="538" t="s">
        <v>514</v>
      </c>
      <c r="D80" s="538" t="s">
        <v>370</v>
      </c>
      <c r="E80" s="541" t="s">
        <v>515</v>
      </c>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row>
    <row r="81" spans="1:33" s="533" customFormat="1" ht="92.4">
      <c r="A81" s="527" t="s">
        <v>365</v>
      </c>
      <c r="B81" s="514" t="s">
        <v>516</v>
      </c>
      <c r="C81" s="514" t="s">
        <v>516</v>
      </c>
      <c r="D81" s="514" t="s">
        <v>457</v>
      </c>
      <c r="E81" s="528" t="s">
        <v>517</v>
      </c>
      <c r="F81" s="529"/>
      <c r="G81" s="529"/>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row>
    <row r="82" spans="1:33" s="533" customFormat="1" ht="80.25" customHeight="1">
      <c r="A82" s="527" t="s">
        <v>365</v>
      </c>
      <c r="B82" s="514" t="s">
        <v>518</v>
      </c>
      <c r="C82" s="514" t="s">
        <v>518</v>
      </c>
      <c r="D82" s="514" t="s">
        <v>519</v>
      </c>
      <c r="E82" s="528" t="s">
        <v>520</v>
      </c>
      <c r="F82" s="529"/>
      <c r="G82" s="529"/>
      <c r="H82" s="529"/>
      <c r="I82" s="529"/>
      <c r="J82" s="529"/>
      <c r="K82" s="529"/>
      <c r="L82" s="529"/>
      <c r="M82" s="529"/>
      <c r="N82" s="529"/>
      <c r="O82" s="529"/>
      <c r="P82" s="529"/>
      <c r="Q82" s="529"/>
      <c r="R82" s="529"/>
      <c r="S82" s="529"/>
      <c r="T82" s="529"/>
      <c r="U82" s="529"/>
      <c r="V82" s="529"/>
      <c r="W82" s="529"/>
      <c r="X82" s="529"/>
      <c r="Y82" s="529"/>
      <c r="Z82" s="529"/>
      <c r="AA82" s="529"/>
      <c r="AB82" s="529"/>
      <c r="AC82" s="529"/>
      <c r="AD82" s="529"/>
      <c r="AE82" s="529"/>
      <c r="AF82" s="529"/>
      <c r="AG82" s="529"/>
    </row>
    <row r="83" spans="1:33" s="533" customFormat="1" ht="43.5" customHeight="1">
      <c r="A83" s="531" t="s">
        <v>372</v>
      </c>
      <c r="B83" s="532" t="s">
        <v>518</v>
      </c>
      <c r="C83" s="532" t="s">
        <v>521</v>
      </c>
      <c r="D83" s="532" t="s">
        <v>519</v>
      </c>
      <c r="E83" s="536" t="s">
        <v>522</v>
      </c>
      <c r="F83" s="529"/>
      <c r="G83" s="529"/>
      <c r="H83" s="529"/>
      <c r="I83" s="529"/>
      <c r="J83" s="529"/>
      <c r="K83" s="529"/>
      <c r="L83" s="529"/>
      <c r="M83" s="529"/>
      <c r="N83" s="529"/>
      <c r="O83" s="529"/>
      <c r="P83" s="529"/>
      <c r="Q83" s="529"/>
      <c r="R83" s="529"/>
      <c r="S83" s="529"/>
      <c r="T83" s="529"/>
      <c r="U83" s="529"/>
      <c r="V83" s="529"/>
      <c r="W83" s="529"/>
      <c r="X83" s="529"/>
      <c r="Y83" s="529"/>
      <c r="Z83" s="529"/>
      <c r="AA83" s="529"/>
      <c r="AB83" s="529"/>
      <c r="AC83" s="529"/>
      <c r="AD83" s="529"/>
      <c r="AE83" s="529"/>
      <c r="AF83" s="529"/>
      <c r="AG83" s="529"/>
    </row>
    <row r="84" spans="1:33" s="533" customFormat="1" ht="52.8">
      <c r="A84" s="531" t="s">
        <v>372</v>
      </c>
      <c r="B84" s="532" t="s">
        <v>518</v>
      </c>
      <c r="C84" s="532" t="s">
        <v>523</v>
      </c>
      <c r="D84" s="532" t="s">
        <v>519</v>
      </c>
      <c r="E84" s="536" t="s">
        <v>524</v>
      </c>
      <c r="F84" s="529"/>
      <c r="G84" s="529"/>
      <c r="H84" s="529"/>
      <c r="I84" s="529"/>
      <c r="J84" s="529"/>
      <c r="K84" s="529"/>
      <c r="L84" s="529"/>
      <c r="M84" s="529"/>
      <c r="N84" s="529"/>
      <c r="O84" s="529"/>
      <c r="P84" s="529"/>
      <c r="Q84" s="529"/>
      <c r="R84" s="529"/>
      <c r="S84" s="529"/>
      <c r="T84" s="529"/>
      <c r="U84" s="529"/>
      <c r="V84" s="529"/>
      <c r="W84" s="529"/>
      <c r="X84" s="529"/>
      <c r="Y84" s="529"/>
      <c r="Z84" s="529"/>
      <c r="AA84" s="529"/>
      <c r="AB84" s="529"/>
      <c r="AC84" s="529"/>
      <c r="AD84" s="529"/>
      <c r="AE84" s="529"/>
      <c r="AF84" s="529"/>
      <c r="AG84" s="529"/>
    </row>
    <row r="85" spans="1:33" s="533" customFormat="1" ht="52.8">
      <c r="A85" s="531" t="s">
        <v>372</v>
      </c>
      <c r="B85" s="532" t="s">
        <v>518</v>
      </c>
      <c r="C85" s="532" t="s">
        <v>525</v>
      </c>
      <c r="D85" s="532" t="s">
        <v>519</v>
      </c>
      <c r="E85" s="536" t="s">
        <v>526</v>
      </c>
      <c r="F85" s="529"/>
      <c r="G85" s="529"/>
      <c r="H85" s="529"/>
      <c r="I85" s="529"/>
      <c r="J85" s="529"/>
      <c r="K85" s="529"/>
      <c r="L85" s="529"/>
      <c r="M85" s="529"/>
      <c r="N85" s="529"/>
      <c r="O85" s="529"/>
      <c r="P85" s="529"/>
      <c r="Q85" s="529"/>
      <c r="R85" s="529"/>
      <c r="S85" s="529"/>
      <c r="T85" s="529"/>
      <c r="U85" s="529"/>
      <c r="V85" s="529"/>
      <c r="W85" s="529"/>
      <c r="X85" s="529"/>
      <c r="Y85" s="529"/>
      <c r="Z85" s="529"/>
      <c r="AA85" s="529"/>
      <c r="AB85" s="529"/>
      <c r="AC85" s="529"/>
      <c r="AD85" s="529"/>
      <c r="AE85" s="529"/>
      <c r="AF85" s="529"/>
      <c r="AG85" s="529"/>
    </row>
    <row r="86" spans="1:33" s="533" customFormat="1" ht="39.6">
      <c r="A86" s="531" t="s">
        <v>372</v>
      </c>
      <c r="B86" s="532" t="s">
        <v>518</v>
      </c>
      <c r="C86" s="532" t="s">
        <v>527</v>
      </c>
      <c r="D86" s="532" t="s">
        <v>519</v>
      </c>
      <c r="E86" s="536" t="s">
        <v>528</v>
      </c>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row>
    <row r="87" spans="1:33" s="533" customFormat="1" ht="39.6">
      <c r="A87" s="531" t="s">
        <v>372</v>
      </c>
      <c r="B87" s="532" t="s">
        <v>518</v>
      </c>
      <c r="C87" s="532" t="s">
        <v>529</v>
      </c>
      <c r="D87" s="532" t="s">
        <v>519</v>
      </c>
      <c r="E87" s="536" t="s">
        <v>530</v>
      </c>
      <c r="F87" s="529"/>
      <c r="G87" s="529"/>
      <c r="H87" s="529"/>
      <c r="I87" s="529"/>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row>
    <row r="88" spans="1:33" s="533" customFormat="1" ht="39.6">
      <c r="A88" s="531" t="s">
        <v>372</v>
      </c>
      <c r="B88" s="532" t="s">
        <v>518</v>
      </c>
      <c r="C88" s="532" t="s">
        <v>531</v>
      </c>
      <c r="D88" s="532" t="s">
        <v>519</v>
      </c>
      <c r="E88" s="536" t="s">
        <v>532</v>
      </c>
      <c r="F88" s="529"/>
      <c r="G88" s="529"/>
      <c r="H88" s="529"/>
      <c r="I88" s="529"/>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29"/>
    </row>
    <row r="89" spans="1:33" s="533" customFormat="1" ht="79.2">
      <c r="A89" s="527" t="s">
        <v>365</v>
      </c>
      <c r="B89" s="514" t="s">
        <v>533</v>
      </c>
      <c r="C89" s="514" t="s">
        <v>533</v>
      </c>
      <c r="D89" s="514" t="s">
        <v>457</v>
      </c>
      <c r="E89" s="528" t="s">
        <v>534</v>
      </c>
      <c r="F89" s="529"/>
      <c r="G89" s="529"/>
      <c r="H89" s="529"/>
      <c r="I89" s="529"/>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529"/>
    </row>
    <row r="90" spans="1:33" ht="66">
      <c r="A90" s="527" t="s">
        <v>365</v>
      </c>
      <c r="B90" s="514" t="s">
        <v>535</v>
      </c>
      <c r="C90" s="514" t="s">
        <v>535</v>
      </c>
      <c r="D90" s="514" t="s">
        <v>536</v>
      </c>
      <c r="E90" s="528" t="s">
        <v>537</v>
      </c>
    </row>
    <row r="91" spans="1:33" s="533" customFormat="1" ht="26.4">
      <c r="A91" s="531" t="s">
        <v>372</v>
      </c>
      <c r="B91" s="532" t="s">
        <v>535</v>
      </c>
      <c r="C91" s="532" t="s">
        <v>538</v>
      </c>
      <c r="D91" s="532" t="s">
        <v>536</v>
      </c>
      <c r="E91" s="542" t="s">
        <v>539</v>
      </c>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row>
    <row r="92" spans="1:33" s="533" customFormat="1" ht="26.4">
      <c r="A92" s="531" t="s">
        <v>372</v>
      </c>
      <c r="B92" s="532" t="s">
        <v>535</v>
      </c>
      <c r="C92" s="532" t="s">
        <v>540</v>
      </c>
      <c r="D92" s="532" t="s">
        <v>536</v>
      </c>
      <c r="E92" s="532" t="s">
        <v>541</v>
      </c>
      <c r="F92" s="529"/>
      <c r="G92" s="529"/>
      <c r="H92" s="529"/>
      <c r="I92" s="529"/>
      <c r="J92" s="529"/>
      <c r="K92" s="529"/>
      <c r="L92" s="529"/>
      <c r="M92" s="529"/>
      <c r="N92" s="529"/>
      <c r="O92" s="529"/>
      <c r="P92" s="529"/>
      <c r="Q92" s="529"/>
      <c r="R92" s="529"/>
      <c r="S92" s="529"/>
      <c r="T92" s="529"/>
      <c r="U92" s="529"/>
      <c r="V92" s="529"/>
      <c r="W92" s="529"/>
      <c r="X92" s="529"/>
      <c r="Y92" s="529"/>
      <c r="Z92" s="529"/>
      <c r="AA92" s="529"/>
      <c r="AB92" s="529"/>
      <c r="AC92" s="529"/>
      <c r="AD92" s="529"/>
      <c r="AE92" s="529"/>
      <c r="AF92" s="529"/>
      <c r="AG92" s="529"/>
    </row>
    <row r="93" spans="1:33" s="533" customFormat="1" ht="26.4">
      <c r="A93" s="531" t="s">
        <v>372</v>
      </c>
      <c r="B93" s="532" t="s">
        <v>535</v>
      </c>
      <c r="C93" s="532" t="s">
        <v>542</v>
      </c>
      <c r="D93" s="532" t="s">
        <v>536</v>
      </c>
      <c r="E93" s="532" t="s">
        <v>543</v>
      </c>
      <c r="F93" s="529"/>
      <c r="G93" s="529"/>
      <c r="H93" s="529"/>
      <c r="I93" s="529"/>
      <c r="J93" s="529"/>
      <c r="K93" s="529"/>
      <c r="L93" s="529"/>
      <c r="M93" s="529"/>
      <c r="N93" s="529"/>
      <c r="O93" s="529"/>
      <c r="P93" s="529"/>
      <c r="Q93" s="529"/>
      <c r="R93" s="529"/>
      <c r="S93" s="529"/>
      <c r="T93" s="529"/>
      <c r="U93" s="529"/>
      <c r="V93" s="529"/>
      <c r="W93" s="529"/>
      <c r="X93" s="529"/>
      <c r="Y93" s="529"/>
      <c r="Z93" s="529"/>
      <c r="AA93" s="529"/>
      <c r="AB93" s="529"/>
      <c r="AC93" s="529"/>
      <c r="AD93" s="529"/>
      <c r="AE93" s="529"/>
      <c r="AF93" s="529"/>
      <c r="AG93" s="529"/>
    </row>
    <row r="94" spans="1:33" s="533" customFormat="1">
      <c r="A94" s="531" t="s">
        <v>372</v>
      </c>
      <c r="B94" s="532" t="s">
        <v>535</v>
      </c>
      <c r="C94" s="532" t="s">
        <v>544</v>
      </c>
      <c r="D94" s="532" t="s">
        <v>536</v>
      </c>
      <c r="E94" s="532" t="s">
        <v>545</v>
      </c>
      <c r="F94" s="529"/>
      <c r="G94" s="529"/>
      <c r="H94" s="529"/>
      <c r="I94" s="529"/>
      <c r="J94" s="529"/>
      <c r="K94" s="529"/>
      <c r="L94" s="529"/>
      <c r="M94" s="529"/>
      <c r="N94" s="529"/>
      <c r="O94" s="529"/>
      <c r="P94" s="529"/>
      <c r="Q94" s="529"/>
      <c r="R94" s="529"/>
      <c r="S94" s="529"/>
      <c r="T94" s="529"/>
      <c r="U94" s="529"/>
      <c r="V94" s="529"/>
      <c r="W94" s="529"/>
      <c r="X94" s="529"/>
      <c r="Y94" s="529"/>
      <c r="Z94" s="529"/>
      <c r="AA94" s="529"/>
      <c r="AB94" s="529"/>
      <c r="AC94" s="529"/>
      <c r="AD94" s="529"/>
      <c r="AE94" s="529"/>
      <c r="AF94" s="529"/>
      <c r="AG94" s="529"/>
    </row>
    <row r="95" spans="1:33" s="533" customFormat="1" ht="26.4">
      <c r="A95" s="531" t="s">
        <v>372</v>
      </c>
      <c r="B95" s="532" t="s">
        <v>535</v>
      </c>
      <c r="C95" s="532" t="s">
        <v>546</v>
      </c>
      <c r="D95" s="532" t="s">
        <v>536</v>
      </c>
      <c r="E95" s="532" t="s">
        <v>547</v>
      </c>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row>
    <row r="96" spans="1:33" s="533" customFormat="1" ht="52.8">
      <c r="A96" s="531" t="s">
        <v>372</v>
      </c>
      <c r="B96" s="532" t="s">
        <v>535</v>
      </c>
      <c r="C96" s="532" t="s">
        <v>548</v>
      </c>
      <c r="D96" s="532" t="s">
        <v>536</v>
      </c>
      <c r="E96" s="532" t="s">
        <v>549</v>
      </c>
      <c r="F96" s="529"/>
      <c r="G96" s="529"/>
      <c r="H96" s="529"/>
      <c r="I96" s="529"/>
      <c r="J96" s="529"/>
      <c r="K96" s="529"/>
      <c r="L96" s="529"/>
      <c r="M96" s="529"/>
      <c r="N96" s="529"/>
      <c r="O96" s="529"/>
      <c r="P96" s="529"/>
      <c r="Q96" s="529"/>
      <c r="R96" s="529"/>
      <c r="S96" s="529"/>
      <c r="T96" s="529"/>
      <c r="U96" s="529"/>
      <c r="V96" s="529"/>
      <c r="W96" s="529"/>
      <c r="X96" s="529"/>
      <c r="Y96" s="529"/>
      <c r="Z96" s="529"/>
      <c r="AA96" s="529"/>
      <c r="AB96" s="529"/>
      <c r="AC96" s="529"/>
      <c r="AD96" s="529"/>
      <c r="AE96" s="529"/>
      <c r="AF96" s="529"/>
      <c r="AG96" s="529"/>
    </row>
    <row r="97" spans="1:33" s="533" customFormat="1" ht="26.4">
      <c r="A97" s="531" t="s">
        <v>372</v>
      </c>
      <c r="B97" s="532" t="s">
        <v>535</v>
      </c>
      <c r="C97" s="532" t="s">
        <v>550</v>
      </c>
      <c r="D97" s="532" t="s">
        <v>536</v>
      </c>
      <c r="E97" s="532" t="s">
        <v>551</v>
      </c>
      <c r="F97" s="529"/>
      <c r="G97" s="529"/>
      <c r="H97" s="529"/>
      <c r="I97" s="529"/>
      <c r="J97" s="529"/>
      <c r="K97" s="529"/>
      <c r="L97" s="529"/>
      <c r="M97" s="529"/>
      <c r="N97" s="529"/>
      <c r="O97" s="529"/>
      <c r="P97" s="529"/>
      <c r="Q97" s="529"/>
      <c r="R97" s="529"/>
      <c r="S97" s="529"/>
      <c r="T97" s="529"/>
      <c r="U97" s="529"/>
      <c r="V97" s="529"/>
      <c r="W97" s="529"/>
      <c r="X97" s="529"/>
      <c r="Y97" s="529"/>
      <c r="Z97" s="529"/>
      <c r="AA97" s="529"/>
      <c r="AB97" s="529"/>
      <c r="AC97" s="529"/>
      <c r="AD97" s="529"/>
      <c r="AE97" s="529"/>
      <c r="AF97" s="529"/>
      <c r="AG97" s="529"/>
    </row>
    <row r="98" spans="1:33" s="533" customFormat="1" ht="26.4">
      <c r="A98" s="531" t="s">
        <v>372</v>
      </c>
      <c r="B98" s="532" t="s">
        <v>535</v>
      </c>
      <c r="C98" s="532" t="s">
        <v>552</v>
      </c>
      <c r="D98" s="532" t="s">
        <v>536</v>
      </c>
      <c r="E98" s="532" t="s">
        <v>553</v>
      </c>
      <c r="F98" s="529"/>
      <c r="G98" s="529"/>
      <c r="H98" s="529"/>
      <c r="I98" s="529"/>
      <c r="J98" s="529"/>
      <c r="K98" s="529"/>
      <c r="L98" s="529"/>
      <c r="M98" s="529"/>
      <c r="N98" s="529"/>
      <c r="O98" s="529"/>
      <c r="P98" s="529"/>
      <c r="Q98" s="529"/>
      <c r="R98" s="529"/>
      <c r="S98" s="529"/>
      <c r="T98" s="529"/>
      <c r="U98" s="529"/>
      <c r="V98" s="529"/>
      <c r="W98" s="529"/>
      <c r="X98" s="529"/>
      <c r="Y98" s="529"/>
      <c r="Z98" s="529"/>
      <c r="AA98" s="529"/>
      <c r="AB98" s="529"/>
      <c r="AC98" s="529"/>
      <c r="AD98" s="529"/>
      <c r="AE98" s="529"/>
      <c r="AF98" s="529"/>
      <c r="AG98" s="529"/>
    </row>
    <row r="99" spans="1:33" s="533" customFormat="1" ht="26.4">
      <c r="A99" s="531" t="s">
        <v>372</v>
      </c>
      <c r="B99" s="532" t="s">
        <v>535</v>
      </c>
      <c r="C99" s="532" t="s">
        <v>554</v>
      </c>
      <c r="D99" s="532" t="s">
        <v>536</v>
      </c>
      <c r="E99" s="532" t="s">
        <v>555</v>
      </c>
      <c r="F99" s="529"/>
      <c r="G99" s="529"/>
      <c r="H99" s="529"/>
      <c r="I99" s="529"/>
      <c r="J99" s="529"/>
      <c r="K99" s="529"/>
      <c r="L99" s="529"/>
      <c r="M99" s="529"/>
      <c r="N99" s="529"/>
      <c r="O99" s="529"/>
      <c r="P99" s="529"/>
      <c r="Q99" s="529"/>
      <c r="R99" s="529"/>
      <c r="S99" s="529"/>
      <c r="T99" s="529"/>
      <c r="U99" s="529"/>
      <c r="V99" s="529"/>
      <c r="W99" s="529"/>
      <c r="X99" s="529"/>
      <c r="Y99" s="529"/>
      <c r="Z99" s="529"/>
      <c r="AA99" s="529"/>
      <c r="AB99" s="529"/>
      <c r="AC99" s="529"/>
      <c r="AD99" s="529"/>
      <c r="AE99" s="529"/>
      <c r="AF99" s="529"/>
      <c r="AG99" s="529"/>
    </row>
    <row r="100" spans="1:33" s="533" customFormat="1" ht="26.4">
      <c r="A100" s="531" t="s">
        <v>372</v>
      </c>
      <c r="B100" s="532" t="s">
        <v>535</v>
      </c>
      <c r="C100" s="532" t="s">
        <v>556</v>
      </c>
      <c r="D100" s="532" t="s">
        <v>536</v>
      </c>
      <c r="E100" s="532" t="s">
        <v>557</v>
      </c>
      <c r="F100" s="529"/>
      <c r="G100" s="529"/>
      <c r="H100" s="529"/>
      <c r="I100" s="529"/>
      <c r="J100" s="529"/>
      <c r="K100" s="529"/>
      <c r="L100" s="529"/>
      <c r="M100" s="529"/>
      <c r="N100" s="529"/>
      <c r="O100" s="529"/>
      <c r="P100" s="529"/>
      <c r="Q100" s="529"/>
      <c r="R100" s="529"/>
      <c r="S100" s="529"/>
      <c r="T100" s="529"/>
      <c r="U100" s="529"/>
      <c r="V100" s="529"/>
      <c r="W100" s="529"/>
      <c r="X100" s="529"/>
      <c r="Y100" s="529"/>
      <c r="Z100" s="529"/>
      <c r="AA100" s="529"/>
      <c r="AB100" s="529"/>
      <c r="AC100" s="529"/>
      <c r="AD100" s="529"/>
      <c r="AE100" s="529"/>
      <c r="AF100" s="529"/>
      <c r="AG100" s="529"/>
    </row>
    <row r="101" spans="1:33" s="533" customFormat="1" ht="26.4">
      <c r="A101" s="531" t="s">
        <v>372</v>
      </c>
      <c r="B101" s="532" t="s">
        <v>535</v>
      </c>
      <c r="C101" s="532" t="s">
        <v>558</v>
      </c>
      <c r="D101" s="532" t="s">
        <v>536</v>
      </c>
      <c r="E101" s="532" t="s">
        <v>559</v>
      </c>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row>
    <row r="102" spans="1:33" s="533" customFormat="1" ht="26.4">
      <c r="A102" s="531" t="s">
        <v>372</v>
      </c>
      <c r="B102" s="532" t="s">
        <v>535</v>
      </c>
      <c r="C102" s="532" t="s">
        <v>560</v>
      </c>
      <c r="D102" s="532" t="s">
        <v>536</v>
      </c>
      <c r="E102" s="532" t="s">
        <v>561</v>
      </c>
      <c r="F102" s="529"/>
      <c r="G102" s="529"/>
      <c r="H102" s="529"/>
      <c r="I102" s="529"/>
      <c r="J102" s="529"/>
      <c r="K102" s="529"/>
      <c r="L102" s="529"/>
      <c r="M102" s="529"/>
      <c r="N102" s="529"/>
      <c r="O102" s="529"/>
      <c r="P102" s="529"/>
      <c r="Q102" s="529"/>
      <c r="R102" s="529"/>
      <c r="S102" s="529"/>
      <c r="T102" s="529"/>
      <c r="U102" s="529"/>
      <c r="V102" s="529"/>
      <c r="W102" s="529"/>
      <c r="X102" s="529"/>
      <c r="Y102" s="529"/>
      <c r="Z102" s="529"/>
      <c r="AA102" s="529"/>
      <c r="AB102" s="529"/>
      <c r="AC102" s="529"/>
      <c r="AD102" s="529"/>
      <c r="AE102" s="529"/>
      <c r="AF102" s="529"/>
      <c r="AG102" s="529"/>
    </row>
    <row r="103" spans="1:33" s="533" customFormat="1" ht="52.8">
      <c r="A103" s="531" t="s">
        <v>372</v>
      </c>
      <c r="B103" s="532" t="s">
        <v>535</v>
      </c>
      <c r="C103" s="532" t="s">
        <v>562</v>
      </c>
      <c r="D103" s="532" t="s">
        <v>536</v>
      </c>
      <c r="E103" s="532" t="s">
        <v>563</v>
      </c>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29"/>
      <c r="AB103" s="529"/>
      <c r="AC103" s="529"/>
      <c r="AD103" s="529"/>
      <c r="AE103" s="529"/>
      <c r="AF103" s="529"/>
      <c r="AG103" s="529"/>
    </row>
    <row r="104" spans="1:33" s="533" customFormat="1" ht="26.4">
      <c r="A104" s="531" t="s">
        <v>372</v>
      </c>
      <c r="B104" s="532" t="s">
        <v>535</v>
      </c>
      <c r="C104" s="532" t="s">
        <v>564</v>
      </c>
      <c r="D104" s="532" t="s">
        <v>536</v>
      </c>
      <c r="E104" s="532" t="s">
        <v>565</v>
      </c>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29"/>
      <c r="AB104" s="529"/>
      <c r="AC104" s="529"/>
      <c r="AD104" s="529"/>
      <c r="AE104" s="529"/>
      <c r="AF104" s="529"/>
      <c r="AG104" s="529"/>
    </row>
    <row r="105" spans="1:33" s="533" customFormat="1" ht="26.4">
      <c r="A105" s="537" t="s">
        <v>365</v>
      </c>
      <c r="B105" s="538" t="s">
        <v>566</v>
      </c>
      <c r="C105" s="538" t="s">
        <v>566</v>
      </c>
      <c r="D105" s="538" t="s">
        <v>567</v>
      </c>
      <c r="E105" s="538" t="s">
        <v>568</v>
      </c>
      <c r="F105" s="529"/>
      <c r="G105" s="529"/>
      <c r="H105" s="529"/>
      <c r="I105" s="529"/>
      <c r="J105" s="529"/>
      <c r="K105" s="529"/>
      <c r="L105" s="529"/>
      <c r="M105" s="529"/>
      <c r="N105" s="529"/>
      <c r="O105" s="529"/>
      <c r="P105" s="529"/>
      <c r="Q105" s="529"/>
      <c r="R105" s="529"/>
      <c r="S105" s="529"/>
      <c r="T105" s="529"/>
      <c r="U105" s="529"/>
      <c r="V105" s="529"/>
      <c r="W105" s="529"/>
      <c r="X105" s="529"/>
      <c r="Y105" s="529"/>
      <c r="Z105" s="529"/>
      <c r="AA105" s="529"/>
      <c r="AB105" s="529"/>
      <c r="AC105" s="529"/>
      <c r="AD105" s="529"/>
      <c r="AE105" s="529"/>
      <c r="AF105" s="529"/>
      <c r="AG105" s="529"/>
    </row>
    <row r="106" spans="1:33" s="533" customFormat="1" ht="26.4">
      <c r="A106" s="531" t="s">
        <v>372</v>
      </c>
      <c r="B106" s="532" t="s">
        <v>566</v>
      </c>
      <c r="C106" s="532" t="s">
        <v>569</v>
      </c>
      <c r="D106" s="532" t="s">
        <v>567</v>
      </c>
      <c r="E106" s="542" t="s">
        <v>539</v>
      </c>
      <c r="F106" s="529"/>
      <c r="G106" s="529"/>
      <c r="H106" s="529"/>
      <c r="I106" s="529"/>
      <c r="J106" s="529"/>
      <c r="K106" s="529"/>
      <c r="L106" s="529"/>
      <c r="M106" s="529"/>
      <c r="N106" s="529"/>
      <c r="O106" s="529"/>
      <c r="P106" s="529"/>
      <c r="Q106" s="529"/>
      <c r="R106" s="529"/>
      <c r="S106" s="529"/>
      <c r="T106" s="529"/>
      <c r="U106" s="529"/>
      <c r="V106" s="529"/>
      <c r="W106" s="529"/>
      <c r="X106" s="529"/>
      <c r="Y106" s="529"/>
      <c r="Z106" s="529"/>
      <c r="AA106" s="529"/>
      <c r="AB106" s="529"/>
      <c r="AC106" s="529"/>
      <c r="AD106" s="529"/>
      <c r="AE106" s="529"/>
      <c r="AF106" s="529"/>
      <c r="AG106" s="529"/>
    </row>
    <row r="107" spans="1:33" s="533" customFormat="1" ht="26.4">
      <c r="A107" s="531" t="s">
        <v>372</v>
      </c>
      <c r="B107" s="532" t="s">
        <v>566</v>
      </c>
      <c r="C107" s="532" t="s">
        <v>570</v>
      </c>
      <c r="D107" s="532" t="s">
        <v>567</v>
      </c>
      <c r="E107" s="532" t="s">
        <v>541</v>
      </c>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29"/>
    </row>
    <row r="108" spans="1:33" s="533" customFormat="1" ht="26.4">
      <c r="A108" s="531" t="s">
        <v>372</v>
      </c>
      <c r="B108" s="532" t="s">
        <v>566</v>
      </c>
      <c r="C108" s="532" t="s">
        <v>571</v>
      </c>
      <c r="D108" s="532" t="s">
        <v>567</v>
      </c>
      <c r="E108" s="532" t="s">
        <v>543</v>
      </c>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29"/>
      <c r="AD108" s="529"/>
      <c r="AE108" s="529"/>
      <c r="AF108" s="529"/>
      <c r="AG108" s="529"/>
    </row>
    <row r="109" spans="1:33" s="533" customFormat="1" ht="26.4">
      <c r="A109" s="531" t="s">
        <v>372</v>
      </c>
      <c r="B109" s="532" t="s">
        <v>566</v>
      </c>
      <c r="C109" s="532" t="s">
        <v>572</v>
      </c>
      <c r="D109" s="532" t="s">
        <v>567</v>
      </c>
      <c r="E109" s="532" t="s">
        <v>545</v>
      </c>
      <c r="F109" s="529"/>
      <c r="G109" s="529"/>
      <c r="H109" s="529"/>
      <c r="I109" s="529"/>
      <c r="J109" s="529"/>
      <c r="K109" s="529"/>
      <c r="L109" s="529"/>
      <c r="M109" s="529"/>
      <c r="N109" s="529"/>
      <c r="O109" s="529"/>
      <c r="P109" s="529"/>
      <c r="Q109" s="529"/>
      <c r="R109" s="529"/>
      <c r="S109" s="529"/>
      <c r="T109" s="529"/>
      <c r="U109" s="529"/>
      <c r="V109" s="529"/>
      <c r="W109" s="529"/>
      <c r="X109" s="529"/>
      <c r="Y109" s="529"/>
      <c r="Z109" s="529"/>
      <c r="AA109" s="529"/>
      <c r="AB109" s="529"/>
      <c r="AC109" s="529"/>
      <c r="AD109" s="529"/>
      <c r="AE109" s="529"/>
      <c r="AF109" s="529"/>
      <c r="AG109" s="529"/>
    </row>
    <row r="110" spans="1:33" s="533" customFormat="1" ht="26.4">
      <c r="A110" s="531" t="s">
        <v>372</v>
      </c>
      <c r="B110" s="532" t="s">
        <v>566</v>
      </c>
      <c r="C110" s="532" t="s">
        <v>573</v>
      </c>
      <c r="D110" s="532" t="s">
        <v>567</v>
      </c>
      <c r="E110" s="532" t="s">
        <v>547</v>
      </c>
      <c r="F110" s="529"/>
      <c r="G110" s="529"/>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row>
    <row r="111" spans="1:33" s="533" customFormat="1" ht="52.8">
      <c r="A111" s="531" t="s">
        <v>372</v>
      </c>
      <c r="B111" s="532" t="s">
        <v>566</v>
      </c>
      <c r="C111" s="532" t="s">
        <v>574</v>
      </c>
      <c r="D111" s="532" t="s">
        <v>567</v>
      </c>
      <c r="E111" s="532" t="s">
        <v>549</v>
      </c>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row>
    <row r="112" spans="1:33" s="533" customFormat="1" ht="26.4">
      <c r="A112" s="531" t="s">
        <v>372</v>
      </c>
      <c r="B112" s="532" t="s">
        <v>566</v>
      </c>
      <c r="C112" s="532" t="s">
        <v>575</v>
      </c>
      <c r="D112" s="532" t="s">
        <v>567</v>
      </c>
      <c r="E112" s="532" t="s">
        <v>551</v>
      </c>
      <c r="F112" s="529"/>
      <c r="G112" s="529"/>
      <c r="H112" s="529"/>
      <c r="I112" s="529"/>
      <c r="J112" s="529"/>
      <c r="K112" s="529"/>
      <c r="L112" s="529"/>
      <c r="M112" s="529"/>
      <c r="N112" s="529"/>
      <c r="O112" s="529"/>
      <c r="P112" s="529"/>
      <c r="Q112" s="529"/>
      <c r="R112" s="529"/>
      <c r="S112" s="529"/>
      <c r="T112" s="529"/>
      <c r="U112" s="529"/>
      <c r="V112" s="529"/>
      <c r="W112" s="529"/>
      <c r="X112" s="529"/>
      <c r="Y112" s="529"/>
      <c r="Z112" s="529"/>
      <c r="AA112" s="529"/>
      <c r="AB112" s="529"/>
      <c r="AC112" s="529"/>
      <c r="AD112" s="529"/>
      <c r="AE112" s="529"/>
      <c r="AF112" s="529"/>
      <c r="AG112" s="529"/>
    </row>
    <row r="113" spans="1:33" s="533" customFormat="1" ht="26.4">
      <c r="A113" s="531" t="s">
        <v>372</v>
      </c>
      <c r="B113" s="532" t="s">
        <v>566</v>
      </c>
      <c r="C113" s="532" t="s">
        <v>576</v>
      </c>
      <c r="D113" s="532" t="s">
        <v>567</v>
      </c>
      <c r="E113" s="532" t="s">
        <v>553</v>
      </c>
      <c r="F113" s="529"/>
      <c r="G113" s="529"/>
      <c r="H113" s="529"/>
      <c r="I113" s="529"/>
      <c r="J113" s="529"/>
      <c r="K113" s="529"/>
      <c r="L113" s="529"/>
      <c r="M113" s="529"/>
      <c r="N113" s="529"/>
      <c r="O113" s="529"/>
      <c r="P113" s="529"/>
      <c r="Q113" s="529"/>
      <c r="R113" s="529"/>
      <c r="S113" s="529"/>
      <c r="T113" s="529"/>
      <c r="U113" s="529"/>
      <c r="V113" s="529"/>
      <c r="W113" s="529"/>
      <c r="X113" s="529"/>
      <c r="Y113" s="529"/>
      <c r="Z113" s="529"/>
      <c r="AA113" s="529"/>
      <c r="AB113" s="529"/>
      <c r="AC113" s="529"/>
      <c r="AD113" s="529"/>
      <c r="AE113" s="529"/>
      <c r="AF113" s="529"/>
      <c r="AG113" s="529"/>
    </row>
    <row r="114" spans="1:33" s="533" customFormat="1" ht="26.4">
      <c r="A114" s="531" t="s">
        <v>372</v>
      </c>
      <c r="B114" s="532" t="s">
        <v>566</v>
      </c>
      <c r="C114" s="532" t="s">
        <v>577</v>
      </c>
      <c r="D114" s="532" t="s">
        <v>567</v>
      </c>
      <c r="E114" s="532" t="s">
        <v>555</v>
      </c>
      <c r="F114" s="529"/>
      <c r="G114" s="529"/>
      <c r="H114" s="529"/>
      <c r="I114" s="529"/>
      <c r="J114" s="529"/>
      <c r="K114" s="529"/>
      <c r="L114" s="529"/>
      <c r="M114" s="529"/>
      <c r="N114" s="529"/>
      <c r="O114" s="529"/>
      <c r="P114" s="529"/>
      <c r="Q114" s="529"/>
      <c r="R114" s="529"/>
      <c r="S114" s="529"/>
      <c r="T114" s="529"/>
      <c r="U114" s="529"/>
      <c r="V114" s="529"/>
      <c r="W114" s="529"/>
      <c r="X114" s="529"/>
      <c r="Y114" s="529"/>
      <c r="Z114" s="529"/>
      <c r="AA114" s="529"/>
      <c r="AB114" s="529"/>
      <c r="AC114" s="529"/>
      <c r="AD114" s="529"/>
      <c r="AE114" s="529"/>
      <c r="AF114" s="529"/>
      <c r="AG114" s="529"/>
    </row>
    <row r="115" spans="1:33" s="533" customFormat="1" ht="26.4">
      <c r="A115" s="531" t="s">
        <v>372</v>
      </c>
      <c r="B115" s="532" t="s">
        <v>566</v>
      </c>
      <c r="C115" s="532" t="s">
        <v>578</v>
      </c>
      <c r="D115" s="532" t="s">
        <v>567</v>
      </c>
      <c r="E115" s="532" t="s">
        <v>557</v>
      </c>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29"/>
      <c r="AB115" s="529"/>
      <c r="AC115" s="529"/>
      <c r="AD115" s="529"/>
      <c r="AE115" s="529"/>
      <c r="AF115" s="529"/>
      <c r="AG115" s="529"/>
    </row>
    <row r="116" spans="1:33" s="533" customFormat="1" ht="26.4">
      <c r="A116" s="531" t="s">
        <v>372</v>
      </c>
      <c r="B116" s="532" t="s">
        <v>566</v>
      </c>
      <c r="C116" s="532" t="s">
        <v>579</v>
      </c>
      <c r="D116" s="532" t="s">
        <v>567</v>
      </c>
      <c r="E116" s="532" t="s">
        <v>559</v>
      </c>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29"/>
      <c r="AB116" s="529"/>
      <c r="AC116" s="529"/>
      <c r="AD116" s="529"/>
      <c r="AE116" s="529"/>
      <c r="AF116" s="529"/>
      <c r="AG116" s="529"/>
    </row>
    <row r="117" spans="1:33" s="533" customFormat="1" ht="26.4">
      <c r="A117" s="531" t="s">
        <v>372</v>
      </c>
      <c r="B117" s="532" t="s">
        <v>566</v>
      </c>
      <c r="C117" s="532" t="s">
        <v>580</v>
      </c>
      <c r="D117" s="532" t="s">
        <v>567</v>
      </c>
      <c r="E117" s="532" t="s">
        <v>561</v>
      </c>
      <c r="F117" s="529"/>
      <c r="G117" s="529"/>
      <c r="H117" s="529"/>
      <c r="I117" s="529"/>
      <c r="J117" s="529"/>
      <c r="K117" s="529"/>
      <c r="L117" s="529"/>
      <c r="M117" s="529"/>
      <c r="N117" s="529"/>
      <c r="O117" s="529"/>
      <c r="P117" s="529"/>
      <c r="Q117" s="529"/>
      <c r="R117" s="529"/>
      <c r="S117" s="529"/>
      <c r="T117" s="529"/>
      <c r="U117" s="529"/>
      <c r="V117" s="529"/>
      <c r="W117" s="529"/>
      <c r="X117" s="529"/>
      <c r="Y117" s="529"/>
      <c r="Z117" s="529"/>
      <c r="AA117" s="529"/>
      <c r="AB117" s="529"/>
      <c r="AC117" s="529"/>
      <c r="AD117" s="529"/>
      <c r="AE117" s="529"/>
      <c r="AF117" s="529"/>
      <c r="AG117" s="529"/>
    </row>
    <row r="118" spans="1:33" s="533" customFormat="1" ht="52.8">
      <c r="A118" s="531" t="s">
        <v>372</v>
      </c>
      <c r="B118" s="532" t="s">
        <v>566</v>
      </c>
      <c r="C118" s="532" t="s">
        <v>581</v>
      </c>
      <c r="D118" s="532" t="s">
        <v>567</v>
      </c>
      <c r="E118" s="532" t="s">
        <v>563</v>
      </c>
      <c r="F118" s="529"/>
      <c r="G118" s="529"/>
      <c r="H118" s="529"/>
      <c r="I118" s="529"/>
      <c r="J118" s="529"/>
      <c r="K118" s="529"/>
      <c r="L118" s="529"/>
      <c r="M118" s="529"/>
      <c r="N118" s="529"/>
      <c r="O118" s="529"/>
      <c r="P118" s="529"/>
      <c r="Q118" s="529"/>
      <c r="R118" s="529"/>
      <c r="S118" s="529"/>
      <c r="T118" s="529"/>
      <c r="U118" s="529"/>
      <c r="V118" s="529"/>
      <c r="W118" s="529"/>
      <c r="X118" s="529"/>
      <c r="Y118" s="529"/>
      <c r="Z118" s="529"/>
      <c r="AA118" s="529"/>
      <c r="AB118" s="529"/>
      <c r="AC118" s="529"/>
      <c r="AD118" s="529"/>
      <c r="AE118" s="529"/>
      <c r="AF118" s="529"/>
      <c r="AG118" s="529"/>
    </row>
    <row r="119" spans="1:33" s="533" customFormat="1" ht="26.4">
      <c r="A119" s="531" t="s">
        <v>372</v>
      </c>
      <c r="B119" s="532" t="s">
        <v>566</v>
      </c>
      <c r="C119" s="532" t="s">
        <v>582</v>
      </c>
      <c r="D119" s="532" t="s">
        <v>567</v>
      </c>
      <c r="E119" s="532" t="s">
        <v>565</v>
      </c>
      <c r="F119" s="529"/>
      <c r="G119" s="529"/>
      <c r="H119" s="529"/>
      <c r="I119" s="529"/>
      <c r="J119" s="529"/>
      <c r="K119" s="529"/>
      <c r="L119" s="529"/>
      <c r="M119" s="529"/>
      <c r="N119" s="529"/>
      <c r="O119" s="529"/>
      <c r="P119" s="529"/>
      <c r="Q119" s="529"/>
      <c r="R119" s="529"/>
      <c r="S119" s="529"/>
      <c r="T119" s="529"/>
      <c r="U119" s="529"/>
      <c r="V119" s="529"/>
      <c r="W119" s="529"/>
      <c r="X119" s="529"/>
      <c r="Y119" s="529"/>
      <c r="Z119" s="529"/>
      <c r="AA119" s="529"/>
      <c r="AB119" s="529"/>
      <c r="AC119" s="529"/>
      <c r="AD119" s="529"/>
      <c r="AE119" s="529"/>
      <c r="AF119" s="529"/>
      <c r="AG119" s="529"/>
    </row>
    <row r="120" spans="1:33" s="533" customFormat="1" ht="118.8">
      <c r="A120" s="527" t="s">
        <v>365</v>
      </c>
      <c r="B120" s="514" t="s">
        <v>583</v>
      </c>
      <c r="C120" s="514" t="s">
        <v>583</v>
      </c>
      <c r="D120" s="514" t="s">
        <v>457</v>
      </c>
      <c r="E120" s="528" t="s">
        <v>584</v>
      </c>
      <c r="F120" s="529"/>
      <c r="G120" s="529"/>
      <c r="H120" s="529"/>
      <c r="I120" s="529"/>
      <c r="J120" s="529"/>
      <c r="K120" s="529"/>
      <c r="L120" s="529"/>
      <c r="M120" s="529"/>
      <c r="N120" s="529"/>
      <c r="O120" s="529"/>
      <c r="P120" s="529"/>
      <c r="Q120" s="529"/>
      <c r="R120" s="529"/>
      <c r="S120" s="529"/>
      <c r="T120" s="529"/>
      <c r="U120" s="529"/>
      <c r="V120" s="529"/>
      <c r="W120" s="529"/>
      <c r="X120" s="529"/>
      <c r="Y120" s="529"/>
      <c r="Z120" s="529"/>
      <c r="AA120" s="529"/>
      <c r="AB120" s="529"/>
      <c r="AC120" s="529"/>
      <c r="AD120" s="529"/>
      <c r="AE120" s="529"/>
      <c r="AF120" s="529"/>
      <c r="AG120" s="529"/>
    </row>
    <row r="121" spans="1:33" s="533" customFormat="1" ht="39.6">
      <c r="A121" s="531" t="s">
        <v>372</v>
      </c>
      <c r="B121" s="532" t="s">
        <v>583</v>
      </c>
      <c r="C121" s="532" t="s">
        <v>585</v>
      </c>
      <c r="D121" s="532" t="s">
        <v>457</v>
      </c>
      <c r="E121" s="532" t="s">
        <v>586</v>
      </c>
      <c r="F121" s="529"/>
      <c r="G121" s="529"/>
      <c r="H121" s="529"/>
      <c r="I121" s="529"/>
      <c r="J121" s="529"/>
      <c r="K121" s="529"/>
      <c r="L121" s="529"/>
      <c r="M121" s="529"/>
      <c r="N121" s="529"/>
      <c r="O121" s="529"/>
      <c r="P121" s="529"/>
      <c r="Q121" s="529"/>
      <c r="R121" s="529"/>
      <c r="S121" s="529"/>
      <c r="T121" s="529"/>
      <c r="U121" s="529"/>
      <c r="V121" s="529"/>
      <c r="W121" s="529"/>
      <c r="X121" s="529"/>
      <c r="Y121" s="529"/>
      <c r="Z121" s="529"/>
      <c r="AA121" s="529"/>
      <c r="AB121" s="529"/>
      <c r="AC121" s="529"/>
      <c r="AD121" s="529"/>
      <c r="AE121" s="529"/>
      <c r="AF121" s="529"/>
      <c r="AG121" s="529"/>
    </row>
    <row r="122" spans="1:33" s="533" customFormat="1" ht="118.8">
      <c r="A122" s="527" t="s">
        <v>365</v>
      </c>
      <c r="B122" s="514" t="s">
        <v>587</v>
      </c>
      <c r="C122" s="514" t="s">
        <v>587</v>
      </c>
      <c r="D122" s="514" t="s">
        <v>457</v>
      </c>
      <c r="E122" s="513" t="s">
        <v>588</v>
      </c>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529"/>
      <c r="AD122" s="529"/>
      <c r="AE122" s="529"/>
      <c r="AF122" s="529"/>
      <c r="AG122" s="529"/>
    </row>
    <row r="123" spans="1:33" s="533" customFormat="1" ht="26.4">
      <c r="A123" s="531" t="s">
        <v>372</v>
      </c>
      <c r="B123" s="532" t="s">
        <v>587</v>
      </c>
      <c r="C123" s="532" t="s">
        <v>589</v>
      </c>
      <c r="D123" s="532" t="s">
        <v>457</v>
      </c>
      <c r="E123" s="532" t="s">
        <v>590</v>
      </c>
      <c r="F123" s="529"/>
      <c r="G123" s="529"/>
      <c r="H123" s="529"/>
      <c r="I123" s="529"/>
      <c r="J123" s="529"/>
      <c r="K123" s="529"/>
      <c r="L123" s="529"/>
      <c r="M123" s="529"/>
      <c r="N123" s="529"/>
      <c r="O123" s="529"/>
      <c r="P123" s="529"/>
      <c r="Q123" s="529"/>
      <c r="R123" s="529"/>
      <c r="S123" s="529"/>
      <c r="T123" s="529"/>
      <c r="U123" s="529"/>
      <c r="V123" s="529"/>
      <c r="W123" s="529"/>
      <c r="X123" s="529"/>
      <c r="Y123" s="529"/>
      <c r="Z123" s="529"/>
      <c r="AA123" s="529"/>
      <c r="AB123" s="529"/>
      <c r="AC123" s="529"/>
      <c r="AD123" s="529"/>
      <c r="AE123" s="529"/>
      <c r="AF123" s="529"/>
      <c r="AG123" s="529"/>
    </row>
    <row r="124" spans="1:33" s="533" customFormat="1" ht="26.4">
      <c r="A124" s="531" t="s">
        <v>372</v>
      </c>
      <c r="B124" s="532" t="s">
        <v>587</v>
      </c>
      <c r="C124" s="532" t="s">
        <v>591</v>
      </c>
      <c r="D124" s="532" t="s">
        <v>457</v>
      </c>
      <c r="E124" s="532" t="s">
        <v>592</v>
      </c>
      <c r="F124" s="529"/>
      <c r="G124" s="529"/>
      <c r="H124" s="529"/>
      <c r="I124" s="529"/>
      <c r="J124" s="529"/>
      <c r="K124" s="529"/>
      <c r="L124" s="529"/>
      <c r="M124" s="529"/>
      <c r="N124" s="529"/>
      <c r="O124" s="529"/>
      <c r="P124" s="529"/>
      <c r="Q124" s="529"/>
      <c r="R124" s="529"/>
      <c r="S124" s="529"/>
      <c r="T124" s="529"/>
      <c r="U124" s="529"/>
      <c r="V124" s="529"/>
      <c r="W124" s="529"/>
      <c r="X124" s="529"/>
      <c r="Y124" s="529"/>
      <c r="Z124" s="529"/>
      <c r="AA124" s="529"/>
      <c r="AB124" s="529"/>
      <c r="AC124" s="529"/>
      <c r="AD124" s="529"/>
      <c r="AE124" s="529"/>
      <c r="AF124" s="529"/>
      <c r="AG124" s="529"/>
    </row>
    <row r="125" spans="1:33" s="533" customFormat="1" ht="52.8">
      <c r="A125" s="527" t="s">
        <v>365</v>
      </c>
      <c r="B125" s="514" t="s">
        <v>593</v>
      </c>
      <c r="C125" s="513" t="s">
        <v>593</v>
      </c>
      <c r="D125" s="514" t="s">
        <v>370</v>
      </c>
      <c r="E125" s="528" t="s">
        <v>594</v>
      </c>
      <c r="F125" s="529"/>
      <c r="G125" s="529"/>
      <c r="H125" s="529"/>
      <c r="I125" s="529"/>
      <c r="J125" s="529"/>
      <c r="K125" s="529"/>
      <c r="L125" s="529"/>
      <c r="M125" s="529"/>
      <c r="N125" s="529"/>
      <c r="O125" s="529"/>
      <c r="P125" s="529"/>
      <c r="Q125" s="529"/>
      <c r="R125" s="529"/>
      <c r="S125" s="529"/>
      <c r="T125" s="529"/>
      <c r="U125" s="529"/>
      <c r="V125" s="529"/>
      <c r="W125" s="529"/>
      <c r="X125" s="529"/>
      <c r="Y125" s="529"/>
      <c r="Z125" s="529"/>
      <c r="AA125" s="529"/>
      <c r="AB125" s="529"/>
      <c r="AC125" s="529"/>
      <c r="AD125" s="529"/>
      <c r="AE125" s="529"/>
      <c r="AF125" s="529"/>
      <c r="AG125" s="529"/>
    </row>
    <row r="126" spans="1:33" s="533" customFormat="1" ht="39.6">
      <c r="A126" s="531" t="s">
        <v>372</v>
      </c>
      <c r="B126" s="532" t="s">
        <v>593</v>
      </c>
      <c r="C126" s="532" t="s">
        <v>595</v>
      </c>
      <c r="D126" s="532" t="s">
        <v>370</v>
      </c>
      <c r="E126" s="532" t="s">
        <v>596</v>
      </c>
      <c r="F126" s="529"/>
      <c r="G126" s="529"/>
      <c r="H126" s="529"/>
      <c r="I126" s="529"/>
      <c r="J126" s="529"/>
      <c r="K126" s="529"/>
      <c r="L126" s="529"/>
      <c r="M126" s="529"/>
      <c r="N126" s="529"/>
      <c r="O126" s="529"/>
      <c r="P126" s="529"/>
      <c r="Q126" s="529"/>
      <c r="R126" s="529"/>
      <c r="S126" s="529"/>
      <c r="T126" s="529"/>
      <c r="U126" s="529"/>
      <c r="V126" s="529"/>
      <c r="W126" s="529"/>
      <c r="X126" s="529"/>
      <c r="Y126" s="529"/>
      <c r="Z126" s="529"/>
      <c r="AA126" s="529"/>
      <c r="AB126" s="529"/>
      <c r="AC126" s="529"/>
      <c r="AD126" s="529"/>
      <c r="AE126" s="529"/>
      <c r="AF126" s="529"/>
      <c r="AG126" s="529"/>
    </row>
    <row r="127" spans="1:33" s="533" customFormat="1" ht="105.6">
      <c r="A127" s="527" t="s">
        <v>365</v>
      </c>
      <c r="B127" s="514" t="s">
        <v>597</v>
      </c>
      <c r="C127" s="514" t="s">
        <v>597</v>
      </c>
      <c r="D127" s="543" t="s">
        <v>457</v>
      </c>
      <c r="E127" s="528" t="s">
        <v>598</v>
      </c>
      <c r="F127" s="529"/>
      <c r="G127" s="529"/>
      <c r="H127" s="529"/>
      <c r="I127" s="529"/>
      <c r="J127" s="529"/>
      <c r="K127" s="529"/>
      <c r="L127" s="529"/>
      <c r="M127" s="529"/>
      <c r="N127" s="529"/>
      <c r="O127" s="529"/>
      <c r="P127" s="529"/>
      <c r="Q127" s="529"/>
      <c r="R127" s="529"/>
      <c r="S127" s="529"/>
      <c r="T127" s="529"/>
      <c r="U127" s="529"/>
      <c r="V127" s="529"/>
      <c r="W127" s="529"/>
      <c r="X127" s="529"/>
      <c r="Y127" s="529"/>
      <c r="Z127" s="529"/>
      <c r="AA127" s="529"/>
      <c r="AB127" s="529"/>
      <c r="AC127" s="529"/>
      <c r="AD127" s="529"/>
      <c r="AE127" s="529"/>
      <c r="AF127" s="529"/>
      <c r="AG127" s="529"/>
    </row>
    <row r="128" spans="1:33" s="533" customFormat="1" ht="26.4">
      <c r="A128" s="531" t="s">
        <v>372</v>
      </c>
      <c r="B128" s="532" t="s">
        <v>597</v>
      </c>
      <c r="C128" s="532" t="s">
        <v>599</v>
      </c>
      <c r="D128" s="532" t="s">
        <v>457</v>
      </c>
      <c r="E128" s="544" t="s">
        <v>600</v>
      </c>
      <c r="F128" s="529"/>
      <c r="G128" s="529"/>
      <c r="H128" s="529"/>
      <c r="I128" s="529"/>
      <c r="J128" s="529"/>
      <c r="K128" s="529"/>
      <c r="L128" s="529"/>
      <c r="M128" s="529"/>
      <c r="N128" s="529"/>
      <c r="O128" s="529"/>
      <c r="P128" s="529"/>
      <c r="Q128" s="529"/>
      <c r="R128" s="529"/>
      <c r="S128" s="529"/>
      <c r="T128" s="529"/>
      <c r="U128" s="529"/>
      <c r="V128" s="529"/>
      <c r="W128" s="529"/>
      <c r="X128" s="529"/>
      <c r="Y128" s="529"/>
      <c r="Z128" s="529"/>
      <c r="AA128" s="529"/>
      <c r="AB128" s="529"/>
      <c r="AC128" s="529"/>
      <c r="AD128" s="529"/>
      <c r="AE128" s="529"/>
      <c r="AF128" s="529"/>
      <c r="AG128" s="529"/>
    </row>
    <row r="129" spans="1:33" s="533" customFormat="1" ht="92.4">
      <c r="A129" s="527" t="s">
        <v>365</v>
      </c>
      <c r="B129" s="514" t="s">
        <v>601</v>
      </c>
      <c r="C129" s="514" t="s">
        <v>601</v>
      </c>
      <c r="D129" s="514" t="s">
        <v>519</v>
      </c>
      <c r="E129" s="528" t="s">
        <v>602</v>
      </c>
      <c r="F129" s="529"/>
      <c r="G129" s="529"/>
      <c r="H129" s="529"/>
      <c r="I129" s="529"/>
      <c r="J129" s="529"/>
      <c r="K129" s="529"/>
      <c r="L129" s="529"/>
      <c r="M129" s="529"/>
      <c r="N129" s="529"/>
      <c r="O129" s="529"/>
      <c r="P129" s="529"/>
      <c r="Q129" s="529"/>
      <c r="R129" s="529"/>
      <c r="S129" s="529"/>
      <c r="T129" s="529"/>
      <c r="U129" s="529"/>
      <c r="V129" s="529"/>
      <c r="W129" s="529"/>
      <c r="X129" s="529"/>
      <c r="Y129" s="529"/>
      <c r="Z129" s="529"/>
      <c r="AA129" s="529"/>
      <c r="AB129" s="529"/>
      <c r="AC129" s="529"/>
      <c r="AD129" s="529"/>
      <c r="AE129" s="529"/>
      <c r="AF129" s="529"/>
      <c r="AG129" s="529"/>
    </row>
    <row r="130" spans="1:33" s="533" customFormat="1" ht="26.4">
      <c r="A130" s="531" t="s">
        <v>372</v>
      </c>
      <c r="B130" s="532" t="s">
        <v>601</v>
      </c>
      <c r="C130" s="532" t="s">
        <v>603</v>
      </c>
      <c r="D130" s="532" t="s">
        <v>519</v>
      </c>
      <c r="E130" s="532" t="s">
        <v>604</v>
      </c>
      <c r="F130" s="529"/>
      <c r="G130" s="529"/>
      <c r="H130" s="529"/>
      <c r="I130" s="529"/>
      <c r="J130" s="529"/>
      <c r="K130" s="529"/>
      <c r="L130" s="529"/>
      <c r="M130" s="529"/>
      <c r="N130" s="529"/>
      <c r="O130" s="529"/>
      <c r="P130" s="529"/>
      <c r="Q130" s="529"/>
      <c r="R130" s="529"/>
      <c r="S130" s="529"/>
      <c r="T130" s="529"/>
      <c r="U130" s="529"/>
      <c r="V130" s="529"/>
      <c r="W130" s="529"/>
      <c r="X130" s="529"/>
      <c r="Y130" s="529"/>
      <c r="Z130" s="529"/>
      <c r="AA130" s="529"/>
      <c r="AB130" s="529"/>
      <c r="AC130" s="529"/>
      <c r="AD130" s="529"/>
      <c r="AE130" s="529"/>
      <c r="AF130" s="529"/>
      <c r="AG130" s="529"/>
    </row>
    <row r="131" spans="1:33" s="533" customFormat="1" ht="26.4">
      <c r="A131" s="531" t="s">
        <v>372</v>
      </c>
      <c r="B131" s="532" t="s">
        <v>601</v>
      </c>
      <c r="C131" s="532" t="s">
        <v>605</v>
      </c>
      <c r="D131" s="532" t="s">
        <v>519</v>
      </c>
      <c r="E131" s="532" t="s">
        <v>606</v>
      </c>
      <c r="F131" s="529"/>
      <c r="G131" s="529"/>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row>
    <row r="132" spans="1:33" s="533" customFormat="1" ht="52.8">
      <c r="A132" s="527" t="s">
        <v>365</v>
      </c>
      <c r="B132" s="514" t="s">
        <v>607</v>
      </c>
      <c r="C132" s="514" t="s">
        <v>607</v>
      </c>
      <c r="D132" s="543" t="s">
        <v>457</v>
      </c>
      <c r="E132" s="528" t="s">
        <v>608</v>
      </c>
      <c r="F132" s="529"/>
      <c r="G132" s="529"/>
      <c r="H132" s="529"/>
      <c r="I132" s="529"/>
      <c r="J132" s="529"/>
      <c r="K132" s="529"/>
      <c r="L132" s="529"/>
      <c r="M132" s="529"/>
      <c r="N132" s="529"/>
      <c r="O132" s="529"/>
      <c r="P132" s="529"/>
      <c r="Q132" s="529"/>
      <c r="R132" s="529"/>
      <c r="S132" s="529"/>
      <c r="T132" s="529"/>
      <c r="U132" s="529"/>
      <c r="V132" s="529"/>
      <c r="W132" s="529"/>
      <c r="X132" s="529"/>
      <c r="Y132" s="529"/>
      <c r="Z132" s="529"/>
      <c r="AA132" s="529"/>
      <c r="AB132" s="529"/>
      <c r="AC132" s="529"/>
      <c r="AD132" s="529"/>
      <c r="AE132" s="529"/>
      <c r="AF132" s="529"/>
      <c r="AG132" s="529"/>
    </row>
    <row r="133" spans="1:33" s="533" customFormat="1" ht="26.4">
      <c r="A133" s="531" t="s">
        <v>372</v>
      </c>
      <c r="B133" s="532" t="s">
        <v>607</v>
      </c>
      <c r="C133" s="532" t="s">
        <v>609</v>
      </c>
      <c r="D133" s="532" t="s">
        <v>457</v>
      </c>
      <c r="E133" s="532" t="s">
        <v>610</v>
      </c>
      <c r="F133" s="529"/>
      <c r="G133" s="529"/>
      <c r="H133" s="529"/>
      <c r="I133" s="529"/>
      <c r="J133" s="529"/>
      <c r="K133" s="529"/>
      <c r="L133" s="529"/>
      <c r="M133" s="529"/>
      <c r="N133" s="529"/>
      <c r="O133" s="529"/>
      <c r="P133" s="529"/>
      <c r="Q133" s="529"/>
      <c r="R133" s="529"/>
      <c r="S133" s="529"/>
      <c r="T133" s="529"/>
      <c r="U133" s="529"/>
      <c r="V133" s="529"/>
      <c r="W133" s="529"/>
      <c r="X133" s="529"/>
      <c r="Y133" s="529"/>
      <c r="Z133" s="529"/>
      <c r="AA133" s="529"/>
      <c r="AB133" s="529"/>
      <c r="AC133" s="529"/>
      <c r="AD133" s="529"/>
      <c r="AE133" s="529"/>
      <c r="AF133" s="529"/>
      <c r="AG133" s="529"/>
    </row>
    <row r="134" spans="1:33" s="533" customFormat="1" ht="39.6">
      <c r="A134" s="531" t="s">
        <v>372</v>
      </c>
      <c r="B134" s="532" t="s">
        <v>607</v>
      </c>
      <c r="C134" s="532" t="s">
        <v>611</v>
      </c>
      <c r="D134" s="532" t="s">
        <v>457</v>
      </c>
      <c r="E134" s="532" t="s">
        <v>612</v>
      </c>
      <c r="F134" s="529"/>
      <c r="G134" s="529"/>
      <c r="H134" s="529"/>
      <c r="I134" s="529"/>
      <c r="J134" s="529"/>
      <c r="K134" s="529"/>
      <c r="L134" s="529"/>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row>
    <row r="135" spans="1:33" s="533" customFormat="1" ht="39.6">
      <c r="A135" s="531" t="s">
        <v>372</v>
      </c>
      <c r="B135" s="532" t="s">
        <v>607</v>
      </c>
      <c r="C135" s="532" t="s">
        <v>613</v>
      </c>
      <c r="D135" s="532" t="s">
        <v>457</v>
      </c>
      <c r="E135" s="532" t="s">
        <v>614</v>
      </c>
      <c r="F135" s="529"/>
      <c r="G135" s="529"/>
      <c r="H135" s="529"/>
      <c r="I135" s="529"/>
      <c r="J135" s="529"/>
      <c r="K135" s="529"/>
      <c r="L135" s="529"/>
      <c r="M135" s="529"/>
      <c r="N135" s="529"/>
      <c r="O135" s="529"/>
      <c r="P135" s="529"/>
      <c r="Q135" s="529"/>
      <c r="R135" s="529"/>
      <c r="S135" s="529"/>
      <c r="T135" s="529"/>
      <c r="U135" s="529"/>
      <c r="V135" s="529"/>
      <c r="W135" s="529"/>
      <c r="X135" s="529"/>
      <c r="Y135" s="529"/>
      <c r="Z135" s="529"/>
      <c r="AA135" s="529"/>
      <c r="AB135" s="529"/>
      <c r="AC135" s="529"/>
      <c r="AD135" s="529"/>
      <c r="AE135" s="529"/>
      <c r="AF135" s="529"/>
      <c r="AG135" s="529"/>
    </row>
    <row r="136" spans="1:33" s="533" customFormat="1" ht="26.4">
      <c r="A136" s="531" t="s">
        <v>372</v>
      </c>
      <c r="B136" s="532" t="s">
        <v>607</v>
      </c>
      <c r="C136" s="532" t="s">
        <v>615</v>
      </c>
      <c r="D136" s="532" t="s">
        <v>457</v>
      </c>
      <c r="E136" s="532" t="s">
        <v>616</v>
      </c>
      <c r="F136" s="529"/>
      <c r="G136" s="529"/>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row>
    <row r="137" spans="1:33" s="533" customFormat="1" ht="39.6">
      <c r="A137" s="531" t="s">
        <v>372</v>
      </c>
      <c r="B137" s="532" t="s">
        <v>607</v>
      </c>
      <c r="C137" s="532" t="s">
        <v>617</v>
      </c>
      <c r="D137" s="532" t="s">
        <v>457</v>
      </c>
      <c r="E137" s="532" t="s">
        <v>618</v>
      </c>
      <c r="F137" s="529"/>
      <c r="G137" s="529"/>
      <c r="H137" s="529"/>
      <c r="I137" s="529"/>
      <c r="J137" s="529"/>
      <c r="K137" s="529"/>
      <c r="L137" s="529"/>
      <c r="M137" s="529"/>
      <c r="N137" s="529"/>
      <c r="O137" s="529"/>
      <c r="P137" s="529"/>
      <c r="Q137" s="529"/>
      <c r="R137" s="529"/>
      <c r="S137" s="529"/>
      <c r="T137" s="529"/>
      <c r="U137" s="529"/>
      <c r="V137" s="529"/>
      <c r="W137" s="529"/>
      <c r="X137" s="529"/>
      <c r="Y137" s="529"/>
      <c r="Z137" s="529"/>
      <c r="AA137" s="529"/>
      <c r="AB137" s="529"/>
      <c r="AC137" s="529"/>
      <c r="AD137" s="529"/>
      <c r="AE137" s="529"/>
      <c r="AF137" s="529"/>
      <c r="AG137" s="529"/>
    </row>
    <row r="138" spans="1:33" s="533" customFormat="1" ht="66">
      <c r="A138" s="527" t="s">
        <v>365</v>
      </c>
      <c r="B138" s="514" t="s">
        <v>619</v>
      </c>
      <c r="C138" s="514" t="s">
        <v>619</v>
      </c>
      <c r="D138" s="543" t="s">
        <v>519</v>
      </c>
      <c r="E138" s="539" t="s">
        <v>620</v>
      </c>
      <c r="F138" s="529"/>
      <c r="G138" s="529"/>
      <c r="H138" s="529"/>
      <c r="I138" s="529"/>
      <c r="J138" s="529"/>
      <c r="K138" s="529"/>
      <c r="L138" s="529"/>
      <c r="M138" s="529"/>
      <c r="N138" s="529"/>
      <c r="O138" s="529"/>
      <c r="P138" s="529"/>
      <c r="Q138" s="529"/>
      <c r="R138" s="529"/>
      <c r="S138" s="529"/>
      <c r="T138" s="529"/>
      <c r="U138" s="529"/>
      <c r="V138" s="529"/>
      <c r="W138" s="529"/>
      <c r="X138" s="529"/>
      <c r="Y138" s="529"/>
      <c r="Z138" s="529"/>
      <c r="AA138" s="529"/>
      <c r="AB138" s="529"/>
      <c r="AC138" s="529"/>
      <c r="AD138" s="529"/>
      <c r="AE138" s="529"/>
      <c r="AF138" s="529"/>
      <c r="AG138" s="529"/>
    </row>
    <row r="139" spans="1:33" s="533" customFormat="1" ht="52.8">
      <c r="A139" s="527" t="s">
        <v>365</v>
      </c>
      <c r="B139" s="514" t="s">
        <v>621</v>
      </c>
      <c r="C139" s="514" t="s">
        <v>622</v>
      </c>
      <c r="D139" s="514" t="s">
        <v>370</v>
      </c>
      <c r="E139" s="528" t="s">
        <v>623</v>
      </c>
      <c r="F139" s="529"/>
      <c r="G139" s="529"/>
      <c r="H139" s="529"/>
      <c r="I139" s="529"/>
      <c r="J139" s="529"/>
      <c r="K139" s="529"/>
      <c r="L139" s="529"/>
      <c r="M139" s="529"/>
      <c r="N139" s="529"/>
      <c r="O139" s="529"/>
      <c r="P139" s="529"/>
      <c r="Q139" s="529"/>
      <c r="R139" s="529"/>
      <c r="S139" s="529"/>
      <c r="T139" s="529"/>
      <c r="U139" s="529"/>
      <c r="V139" s="529"/>
      <c r="W139" s="529"/>
      <c r="X139" s="529"/>
      <c r="Y139" s="529"/>
      <c r="Z139" s="529"/>
      <c r="AA139" s="529"/>
      <c r="AB139" s="529"/>
      <c r="AC139" s="529"/>
      <c r="AD139" s="529"/>
      <c r="AE139" s="529"/>
      <c r="AF139" s="529"/>
      <c r="AG139" s="529"/>
    </row>
    <row r="140" spans="1:33" s="533" customFormat="1" ht="52.8">
      <c r="A140" s="531" t="s">
        <v>372</v>
      </c>
      <c r="B140" s="532" t="s">
        <v>621</v>
      </c>
      <c r="C140" s="532" t="s">
        <v>624</v>
      </c>
      <c r="D140" s="532" t="s">
        <v>370</v>
      </c>
      <c r="E140" s="542" t="s">
        <v>625</v>
      </c>
      <c r="F140" s="529"/>
      <c r="G140" s="529"/>
      <c r="H140" s="529"/>
      <c r="I140" s="529"/>
      <c r="J140" s="529"/>
      <c r="K140" s="529"/>
      <c r="L140" s="529"/>
      <c r="M140" s="529"/>
      <c r="N140" s="529"/>
      <c r="O140" s="529"/>
      <c r="P140" s="529"/>
      <c r="Q140" s="529"/>
      <c r="R140" s="529"/>
      <c r="S140" s="529"/>
      <c r="T140" s="529"/>
      <c r="U140" s="529"/>
      <c r="V140" s="529"/>
      <c r="W140" s="529"/>
      <c r="X140" s="529"/>
      <c r="Y140" s="529"/>
      <c r="Z140" s="529"/>
      <c r="AA140" s="529"/>
      <c r="AB140" s="529"/>
      <c r="AC140" s="529"/>
      <c r="AD140" s="529"/>
      <c r="AE140" s="529"/>
      <c r="AF140" s="529"/>
      <c r="AG140" s="529"/>
    </row>
    <row r="141" spans="1:33" s="533" customFormat="1" ht="52.8">
      <c r="A141" s="531" t="s">
        <v>372</v>
      </c>
      <c r="B141" s="532" t="s">
        <v>621</v>
      </c>
      <c r="C141" s="532" t="s">
        <v>626</v>
      </c>
      <c r="D141" s="532" t="s">
        <v>370</v>
      </c>
      <c r="E141" s="542" t="s">
        <v>625</v>
      </c>
      <c r="F141" s="529"/>
      <c r="G141" s="529"/>
      <c r="H141" s="529"/>
      <c r="I141" s="529"/>
      <c r="J141" s="529"/>
      <c r="K141" s="529"/>
      <c r="L141" s="529"/>
      <c r="M141" s="529"/>
      <c r="N141" s="529"/>
      <c r="O141" s="529"/>
      <c r="P141" s="529"/>
      <c r="Q141" s="529"/>
      <c r="R141" s="529"/>
      <c r="S141" s="529"/>
      <c r="T141" s="529"/>
      <c r="U141" s="529"/>
      <c r="V141" s="529"/>
      <c r="W141" s="529"/>
      <c r="X141" s="529"/>
      <c r="Y141" s="529"/>
      <c r="Z141" s="529"/>
      <c r="AA141" s="529"/>
      <c r="AB141" s="529"/>
      <c r="AC141" s="529"/>
      <c r="AD141" s="529"/>
      <c r="AE141" s="529"/>
      <c r="AF141" s="529"/>
      <c r="AG141" s="529"/>
    </row>
    <row r="142" spans="1:33" s="533" customFormat="1" ht="39.6">
      <c r="A142" s="531" t="s">
        <v>372</v>
      </c>
      <c r="B142" s="532" t="s">
        <v>621</v>
      </c>
      <c r="C142" s="532" t="s">
        <v>627</v>
      </c>
      <c r="D142" s="532" t="s">
        <v>370</v>
      </c>
      <c r="E142" s="536" t="s">
        <v>628</v>
      </c>
      <c r="F142" s="529"/>
      <c r="G142" s="529"/>
      <c r="H142" s="529"/>
      <c r="I142" s="529"/>
      <c r="J142" s="529"/>
      <c r="K142" s="529"/>
      <c r="L142" s="529"/>
      <c r="M142" s="529"/>
      <c r="N142" s="529"/>
      <c r="O142" s="529"/>
      <c r="P142" s="529"/>
      <c r="Q142" s="529"/>
      <c r="R142" s="529"/>
      <c r="S142" s="529"/>
      <c r="T142" s="529"/>
      <c r="U142" s="529"/>
      <c r="V142" s="529"/>
      <c r="W142" s="529"/>
      <c r="X142" s="529"/>
      <c r="Y142" s="529"/>
      <c r="Z142" s="529"/>
      <c r="AA142" s="529"/>
      <c r="AB142" s="529"/>
      <c r="AC142" s="529"/>
      <c r="AD142" s="529"/>
      <c r="AE142" s="529"/>
      <c r="AF142" s="529"/>
      <c r="AG142" s="529"/>
    </row>
    <row r="143" spans="1:33" s="533" customFormat="1" ht="26.4">
      <c r="A143" s="531" t="s">
        <v>372</v>
      </c>
      <c r="B143" s="532" t="s">
        <v>621</v>
      </c>
      <c r="C143" s="532" t="s">
        <v>629</v>
      </c>
      <c r="D143" s="532" t="s">
        <v>370</v>
      </c>
      <c r="E143" s="542" t="s">
        <v>630</v>
      </c>
      <c r="F143" s="529"/>
      <c r="G143" s="529"/>
      <c r="H143" s="529"/>
      <c r="I143" s="529"/>
      <c r="J143" s="529"/>
      <c r="K143" s="529"/>
      <c r="L143" s="529"/>
      <c r="M143" s="529"/>
      <c r="N143" s="529"/>
      <c r="O143" s="529"/>
      <c r="P143" s="529"/>
      <c r="Q143" s="529"/>
      <c r="R143" s="529"/>
      <c r="S143" s="529"/>
      <c r="T143" s="529"/>
      <c r="U143" s="529"/>
      <c r="V143" s="529"/>
      <c r="W143" s="529"/>
      <c r="X143" s="529"/>
      <c r="Y143" s="529"/>
      <c r="Z143" s="529"/>
      <c r="AA143" s="529"/>
      <c r="AB143" s="529"/>
      <c r="AC143" s="529"/>
      <c r="AD143" s="529"/>
      <c r="AE143" s="529"/>
      <c r="AF143" s="529"/>
      <c r="AG143" s="529"/>
    </row>
    <row r="144" spans="1:33" s="533" customFormat="1" ht="52.8">
      <c r="A144" s="531" t="s">
        <v>372</v>
      </c>
      <c r="B144" s="532" t="s">
        <v>621</v>
      </c>
      <c r="C144" s="532" t="s">
        <v>631</v>
      </c>
      <c r="D144" s="532" t="s">
        <v>370</v>
      </c>
      <c r="E144" s="542" t="s">
        <v>632</v>
      </c>
      <c r="F144" s="529"/>
      <c r="G144" s="529"/>
      <c r="H144" s="529"/>
      <c r="I144" s="529"/>
      <c r="J144" s="529"/>
      <c r="K144" s="529"/>
      <c r="L144" s="529"/>
      <c r="M144" s="529"/>
      <c r="N144" s="529"/>
      <c r="O144" s="529"/>
      <c r="P144" s="529"/>
      <c r="Q144" s="529"/>
      <c r="R144" s="529"/>
      <c r="S144" s="529"/>
      <c r="T144" s="529"/>
      <c r="U144" s="529"/>
      <c r="V144" s="529"/>
      <c r="W144" s="529"/>
      <c r="X144" s="529"/>
      <c r="Y144" s="529"/>
      <c r="Z144" s="529"/>
      <c r="AA144" s="529"/>
      <c r="AB144" s="529"/>
      <c r="AC144" s="529"/>
      <c r="AD144" s="529"/>
      <c r="AE144" s="529"/>
      <c r="AF144" s="529"/>
      <c r="AG144" s="529"/>
    </row>
    <row r="145" spans="1:33" s="533" customFormat="1" ht="39.6">
      <c r="A145" s="531" t="s">
        <v>372</v>
      </c>
      <c r="B145" s="532" t="s">
        <v>621</v>
      </c>
      <c r="C145" s="532" t="s">
        <v>633</v>
      </c>
      <c r="D145" s="532" t="s">
        <v>370</v>
      </c>
      <c r="E145" s="542" t="s">
        <v>634</v>
      </c>
      <c r="F145" s="529"/>
      <c r="G145" s="529"/>
      <c r="H145" s="529"/>
      <c r="I145" s="529"/>
      <c r="J145" s="529"/>
      <c r="K145" s="529"/>
      <c r="L145" s="529"/>
      <c r="M145" s="529"/>
      <c r="N145" s="529"/>
      <c r="O145" s="529"/>
      <c r="P145" s="529"/>
      <c r="Q145" s="529"/>
      <c r="R145" s="529"/>
      <c r="S145" s="529"/>
      <c r="T145" s="529"/>
      <c r="U145" s="529"/>
      <c r="V145" s="529"/>
      <c r="W145" s="529"/>
      <c r="X145" s="529"/>
      <c r="Y145" s="529"/>
      <c r="Z145" s="529"/>
      <c r="AA145" s="529"/>
      <c r="AB145" s="529"/>
      <c r="AC145" s="529"/>
      <c r="AD145" s="529"/>
      <c r="AE145" s="529"/>
      <c r="AF145" s="529"/>
      <c r="AG145" s="529"/>
    </row>
    <row r="146" spans="1:33" s="533" customFormat="1" ht="52.8">
      <c r="A146" s="531" t="s">
        <v>372</v>
      </c>
      <c r="B146" s="532" t="s">
        <v>621</v>
      </c>
      <c r="C146" s="532" t="s">
        <v>635</v>
      </c>
      <c r="D146" s="532" t="s">
        <v>370</v>
      </c>
      <c r="E146" s="542" t="s">
        <v>636</v>
      </c>
      <c r="F146" s="529"/>
      <c r="G146" s="529"/>
      <c r="H146" s="529"/>
      <c r="I146" s="529"/>
      <c r="J146" s="529"/>
      <c r="K146" s="529"/>
      <c r="L146" s="529"/>
      <c r="M146" s="529"/>
      <c r="N146" s="529"/>
      <c r="O146" s="529"/>
      <c r="P146" s="529"/>
      <c r="Q146" s="529"/>
      <c r="R146" s="529"/>
      <c r="S146" s="529"/>
      <c r="T146" s="529"/>
      <c r="U146" s="529"/>
      <c r="V146" s="529"/>
      <c r="W146" s="529"/>
      <c r="X146" s="529"/>
      <c r="Y146" s="529"/>
      <c r="Z146" s="529"/>
      <c r="AA146" s="529"/>
      <c r="AB146" s="529"/>
      <c r="AC146" s="529"/>
      <c r="AD146" s="529"/>
      <c r="AE146" s="529"/>
      <c r="AF146" s="529"/>
      <c r="AG146" s="529"/>
    </row>
    <row r="147" spans="1:33" s="533" customFormat="1" ht="39.6">
      <c r="A147" s="531" t="s">
        <v>372</v>
      </c>
      <c r="B147" s="532" t="s">
        <v>621</v>
      </c>
      <c r="C147" s="532" t="s">
        <v>637</v>
      </c>
      <c r="D147" s="532" t="s">
        <v>370</v>
      </c>
      <c r="E147" s="542" t="s">
        <v>638</v>
      </c>
      <c r="F147" s="529"/>
      <c r="G147" s="529"/>
      <c r="H147" s="529"/>
      <c r="I147" s="529"/>
      <c r="J147" s="529"/>
      <c r="K147" s="529"/>
      <c r="L147" s="529"/>
      <c r="M147" s="529"/>
      <c r="N147" s="529"/>
      <c r="O147" s="529"/>
      <c r="P147" s="529"/>
      <c r="Q147" s="529"/>
      <c r="R147" s="529"/>
      <c r="S147" s="529"/>
      <c r="T147" s="529"/>
      <c r="U147" s="529"/>
      <c r="V147" s="529"/>
      <c r="W147" s="529"/>
      <c r="X147" s="529"/>
      <c r="Y147" s="529"/>
      <c r="Z147" s="529"/>
      <c r="AA147" s="529"/>
      <c r="AB147" s="529"/>
      <c r="AC147" s="529"/>
      <c r="AD147" s="529"/>
      <c r="AE147" s="529"/>
      <c r="AF147" s="529"/>
      <c r="AG147" s="529"/>
    </row>
    <row r="148" spans="1:33" s="533" customFormat="1" ht="39.6">
      <c r="A148" s="531" t="s">
        <v>372</v>
      </c>
      <c r="B148" s="532" t="s">
        <v>621</v>
      </c>
      <c r="C148" s="532" t="s">
        <v>639</v>
      </c>
      <c r="D148" s="532" t="s">
        <v>370</v>
      </c>
      <c r="E148" s="532" t="s">
        <v>640</v>
      </c>
      <c r="F148" s="529"/>
      <c r="G148" s="529"/>
      <c r="H148" s="529"/>
      <c r="I148" s="529"/>
      <c r="J148" s="529"/>
      <c r="K148" s="529"/>
      <c r="L148" s="529"/>
      <c r="M148" s="529"/>
      <c r="N148" s="529"/>
      <c r="O148" s="529"/>
      <c r="P148" s="529"/>
      <c r="Q148" s="529"/>
      <c r="R148" s="529"/>
      <c r="S148" s="529"/>
      <c r="T148" s="529"/>
      <c r="U148" s="529"/>
      <c r="V148" s="529"/>
      <c r="W148" s="529"/>
      <c r="X148" s="529"/>
      <c r="Y148" s="529"/>
      <c r="Z148" s="529"/>
      <c r="AA148" s="529"/>
      <c r="AB148" s="529"/>
      <c r="AC148" s="529"/>
      <c r="AD148" s="529"/>
      <c r="AE148" s="529"/>
      <c r="AF148" s="529"/>
      <c r="AG148" s="529"/>
    </row>
    <row r="149" spans="1:33" s="533" customFormat="1" ht="79.2">
      <c r="A149" s="531" t="s">
        <v>372</v>
      </c>
      <c r="B149" s="532" t="s">
        <v>621</v>
      </c>
      <c r="C149" s="532" t="s">
        <v>641</v>
      </c>
      <c r="D149" s="532" t="s">
        <v>370</v>
      </c>
      <c r="E149" s="532" t="s">
        <v>642</v>
      </c>
      <c r="F149" s="529"/>
      <c r="G149" s="529"/>
      <c r="H149" s="529"/>
      <c r="I149" s="529"/>
      <c r="J149" s="529"/>
      <c r="K149" s="529"/>
      <c r="L149" s="529"/>
      <c r="M149" s="529"/>
      <c r="N149" s="529"/>
      <c r="O149" s="529"/>
      <c r="P149" s="529"/>
      <c r="Q149" s="529"/>
      <c r="R149" s="529"/>
      <c r="S149" s="529"/>
      <c r="T149" s="529"/>
      <c r="U149" s="529"/>
      <c r="V149" s="529"/>
      <c r="W149" s="529"/>
      <c r="X149" s="529"/>
      <c r="Y149" s="529"/>
      <c r="Z149" s="529"/>
      <c r="AA149" s="529"/>
      <c r="AB149" s="529"/>
      <c r="AC149" s="529"/>
      <c r="AD149" s="529"/>
      <c r="AE149" s="529"/>
      <c r="AF149" s="529"/>
      <c r="AG149" s="529"/>
    </row>
    <row r="150" spans="1:33" s="533" customFormat="1" ht="66">
      <c r="A150" s="531" t="s">
        <v>372</v>
      </c>
      <c r="B150" s="532" t="s">
        <v>621</v>
      </c>
      <c r="C150" s="532" t="s">
        <v>643</v>
      </c>
      <c r="D150" s="532" t="s">
        <v>370</v>
      </c>
      <c r="E150" s="542" t="s">
        <v>644</v>
      </c>
      <c r="F150" s="529"/>
      <c r="G150" s="529"/>
      <c r="H150" s="529"/>
      <c r="I150" s="529"/>
      <c r="J150" s="529"/>
      <c r="K150" s="529"/>
      <c r="L150" s="529"/>
      <c r="M150" s="529"/>
      <c r="N150" s="529"/>
      <c r="O150" s="529"/>
      <c r="P150" s="529"/>
      <c r="Q150" s="529"/>
      <c r="R150" s="529"/>
      <c r="S150" s="529"/>
      <c r="T150" s="529"/>
      <c r="U150" s="529"/>
      <c r="V150" s="529"/>
      <c r="W150" s="529"/>
      <c r="X150" s="529"/>
      <c r="Y150" s="529"/>
      <c r="Z150" s="529"/>
      <c r="AA150" s="529"/>
      <c r="AB150" s="529"/>
      <c r="AC150" s="529"/>
      <c r="AD150" s="529"/>
      <c r="AE150" s="529"/>
      <c r="AF150" s="529"/>
      <c r="AG150" s="529"/>
    </row>
    <row r="151" spans="1:33" s="533" customFormat="1" ht="26.4">
      <c r="A151" s="531" t="s">
        <v>372</v>
      </c>
      <c r="B151" s="532" t="s">
        <v>621</v>
      </c>
      <c r="C151" s="532" t="s">
        <v>645</v>
      </c>
      <c r="D151" s="532" t="s">
        <v>370</v>
      </c>
      <c r="E151" s="532" t="s">
        <v>646</v>
      </c>
      <c r="F151" s="529"/>
      <c r="G151" s="529"/>
      <c r="H151" s="529"/>
      <c r="I151" s="529"/>
      <c r="J151" s="529"/>
      <c r="K151" s="529"/>
      <c r="L151" s="529"/>
      <c r="M151" s="529"/>
      <c r="N151" s="529"/>
      <c r="O151" s="529"/>
      <c r="P151" s="529"/>
      <c r="Q151" s="529"/>
      <c r="R151" s="529"/>
      <c r="S151" s="529"/>
      <c r="T151" s="529"/>
      <c r="U151" s="529"/>
      <c r="V151" s="529"/>
      <c r="W151" s="529"/>
      <c r="X151" s="529"/>
      <c r="Y151" s="529"/>
      <c r="Z151" s="529"/>
      <c r="AA151" s="529"/>
      <c r="AB151" s="529"/>
      <c r="AC151" s="529"/>
      <c r="AD151" s="529"/>
      <c r="AE151" s="529"/>
      <c r="AF151" s="529"/>
      <c r="AG151" s="529"/>
    </row>
    <row r="152" spans="1:33" s="533" customFormat="1" ht="39.6">
      <c r="A152" s="531" t="s">
        <v>372</v>
      </c>
      <c r="B152" s="532" t="s">
        <v>621</v>
      </c>
      <c r="C152" s="532" t="s">
        <v>647</v>
      </c>
      <c r="D152" s="532" t="s">
        <v>370</v>
      </c>
      <c r="E152" s="545" t="s">
        <v>648</v>
      </c>
      <c r="F152" s="529"/>
      <c r="G152" s="529"/>
      <c r="H152" s="529"/>
      <c r="I152" s="529"/>
      <c r="J152" s="529"/>
      <c r="K152" s="529"/>
      <c r="L152" s="529"/>
      <c r="M152" s="529"/>
      <c r="N152" s="529"/>
      <c r="O152" s="529"/>
      <c r="P152" s="529"/>
      <c r="Q152" s="529"/>
      <c r="R152" s="529"/>
      <c r="S152" s="529"/>
      <c r="T152" s="529"/>
      <c r="U152" s="529"/>
      <c r="V152" s="529"/>
      <c r="W152" s="529"/>
      <c r="X152" s="529"/>
      <c r="Y152" s="529"/>
      <c r="Z152" s="529"/>
      <c r="AA152" s="529"/>
      <c r="AB152" s="529"/>
      <c r="AC152" s="529"/>
      <c r="AD152" s="529"/>
      <c r="AE152" s="529"/>
      <c r="AF152" s="529"/>
      <c r="AG152" s="529"/>
    </row>
    <row r="153" spans="1:33" s="533" customFormat="1" ht="26.4">
      <c r="A153" s="531" t="s">
        <v>372</v>
      </c>
      <c r="B153" s="532" t="s">
        <v>621</v>
      </c>
      <c r="C153" s="532" t="s">
        <v>649</v>
      </c>
      <c r="D153" s="532" t="s">
        <v>370</v>
      </c>
      <c r="E153" s="532" t="s">
        <v>650</v>
      </c>
      <c r="F153" s="529"/>
      <c r="G153" s="529"/>
      <c r="H153" s="529"/>
      <c r="I153" s="529"/>
      <c r="J153" s="529"/>
      <c r="K153" s="529"/>
      <c r="L153" s="529"/>
      <c r="M153" s="529"/>
      <c r="N153" s="529"/>
      <c r="O153" s="529"/>
      <c r="P153" s="529"/>
      <c r="Q153" s="529"/>
      <c r="R153" s="529"/>
      <c r="S153" s="529"/>
      <c r="T153" s="529"/>
      <c r="U153" s="529"/>
      <c r="V153" s="529"/>
      <c r="W153" s="529"/>
      <c r="X153" s="529"/>
      <c r="Y153" s="529"/>
      <c r="Z153" s="529"/>
      <c r="AA153" s="529"/>
      <c r="AB153" s="529"/>
      <c r="AC153" s="529"/>
      <c r="AD153" s="529"/>
      <c r="AE153" s="529"/>
      <c r="AF153" s="529"/>
      <c r="AG153" s="529"/>
    </row>
    <row r="154" spans="1:33" s="533" customFormat="1" ht="79.2">
      <c r="A154" s="531" t="s">
        <v>372</v>
      </c>
      <c r="B154" s="532" t="s">
        <v>621</v>
      </c>
      <c r="C154" s="532" t="s">
        <v>651</v>
      </c>
      <c r="D154" s="532" t="s">
        <v>370</v>
      </c>
      <c r="E154" s="532" t="s">
        <v>652</v>
      </c>
      <c r="F154" s="529"/>
      <c r="G154" s="529"/>
      <c r="H154" s="529"/>
      <c r="I154" s="529"/>
      <c r="J154" s="529"/>
      <c r="K154" s="529"/>
      <c r="L154" s="529"/>
      <c r="M154" s="529"/>
      <c r="N154" s="529"/>
      <c r="O154" s="529"/>
      <c r="P154" s="529"/>
      <c r="Q154" s="529"/>
      <c r="R154" s="529"/>
      <c r="S154" s="529"/>
      <c r="T154" s="529"/>
      <c r="U154" s="529"/>
      <c r="V154" s="529"/>
      <c r="W154" s="529"/>
      <c r="X154" s="529"/>
      <c r="Y154" s="529"/>
      <c r="Z154" s="529"/>
      <c r="AA154" s="529"/>
      <c r="AB154" s="529"/>
      <c r="AC154" s="529"/>
      <c r="AD154" s="529"/>
      <c r="AE154" s="529"/>
      <c r="AF154" s="529"/>
      <c r="AG154" s="529"/>
    </row>
    <row r="155" spans="1:33" s="533" customFormat="1" ht="26.4">
      <c r="A155" s="531" t="s">
        <v>372</v>
      </c>
      <c r="B155" s="532" t="s">
        <v>621</v>
      </c>
      <c r="C155" s="532" t="s">
        <v>653</v>
      </c>
      <c r="D155" s="532" t="s">
        <v>370</v>
      </c>
      <c r="E155" s="532" t="s">
        <v>654</v>
      </c>
      <c r="F155" s="529"/>
      <c r="G155" s="529"/>
      <c r="H155" s="529"/>
      <c r="I155" s="529"/>
      <c r="J155" s="529"/>
      <c r="K155" s="529"/>
      <c r="L155" s="529"/>
      <c r="M155" s="529"/>
      <c r="N155" s="529"/>
      <c r="O155" s="529"/>
      <c r="P155" s="529"/>
      <c r="Q155" s="529"/>
      <c r="R155" s="529"/>
      <c r="S155" s="529"/>
      <c r="T155" s="529"/>
      <c r="U155" s="529"/>
      <c r="V155" s="529"/>
      <c r="W155" s="529"/>
      <c r="X155" s="529"/>
      <c r="Y155" s="529"/>
      <c r="Z155" s="529"/>
      <c r="AA155" s="529"/>
      <c r="AB155" s="529"/>
      <c r="AC155" s="529"/>
      <c r="AD155" s="529"/>
      <c r="AE155" s="529"/>
      <c r="AF155" s="529"/>
      <c r="AG155" s="529"/>
    </row>
    <row r="156" spans="1:33" s="533" customFormat="1" ht="26.4">
      <c r="A156" s="531" t="s">
        <v>372</v>
      </c>
      <c r="B156" s="532" t="s">
        <v>621</v>
      </c>
      <c r="C156" s="532" t="s">
        <v>655</v>
      </c>
      <c r="D156" s="532" t="s">
        <v>370</v>
      </c>
      <c r="E156" s="532" t="s">
        <v>656</v>
      </c>
      <c r="F156" s="529"/>
      <c r="G156" s="529"/>
      <c r="H156" s="529"/>
      <c r="I156" s="529"/>
      <c r="J156" s="529"/>
      <c r="K156" s="529"/>
      <c r="L156" s="529"/>
      <c r="M156" s="529"/>
      <c r="N156" s="529"/>
      <c r="O156" s="529"/>
      <c r="P156" s="529"/>
      <c r="Q156" s="529"/>
      <c r="R156" s="529"/>
      <c r="S156" s="529"/>
      <c r="T156" s="529"/>
      <c r="U156" s="529"/>
      <c r="V156" s="529"/>
      <c r="W156" s="529"/>
      <c r="X156" s="529"/>
      <c r="Y156" s="529"/>
      <c r="Z156" s="529"/>
      <c r="AA156" s="529"/>
      <c r="AB156" s="529"/>
      <c r="AC156" s="529"/>
      <c r="AD156" s="529"/>
      <c r="AE156" s="529"/>
      <c r="AF156" s="529"/>
      <c r="AG156" s="529"/>
    </row>
    <row r="157" spans="1:33" s="533" customFormat="1" ht="26.4">
      <c r="A157" s="531" t="s">
        <v>372</v>
      </c>
      <c r="B157" s="532" t="s">
        <v>621</v>
      </c>
      <c r="C157" s="532" t="s">
        <v>657</v>
      </c>
      <c r="D157" s="532" t="s">
        <v>370</v>
      </c>
      <c r="E157" s="532" t="s">
        <v>658</v>
      </c>
      <c r="F157" s="529"/>
      <c r="G157" s="529"/>
      <c r="H157" s="529"/>
      <c r="I157" s="529"/>
      <c r="J157" s="529"/>
      <c r="K157" s="529"/>
      <c r="L157" s="529"/>
      <c r="M157" s="529"/>
      <c r="N157" s="529"/>
      <c r="O157" s="529"/>
      <c r="P157" s="529"/>
      <c r="Q157" s="529"/>
      <c r="R157" s="529"/>
      <c r="S157" s="529"/>
      <c r="T157" s="529"/>
      <c r="U157" s="529"/>
      <c r="V157" s="529"/>
      <c r="W157" s="529"/>
      <c r="X157" s="529"/>
      <c r="Y157" s="529"/>
      <c r="Z157" s="529"/>
      <c r="AA157" s="529"/>
      <c r="AB157" s="529"/>
      <c r="AC157" s="529"/>
      <c r="AD157" s="529"/>
      <c r="AE157" s="529"/>
      <c r="AF157" s="529"/>
      <c r="AG157" s="529"/>
    </row>
    <row r="158" spans="1:33" s="533" customFormat="1" ht="52.8">
      <c r="A158" s="531" t="s">
        <v>372</v>
      </c>
      <c r="B158" s="532" t="s">
        <v>621</v>
      </c>
      <c r="C158" s="532" t="s">
        <v>659</v>
      </c>
      <c r="D158" s="532" t="s">
        <v>370</v>
      </c>
      <c r="E158" s="532" t="s">
        <v>660</v>
      </c>
      <c r="F158" s="529"/>
      <c r="G158" s="529"/>
      <c r="H158" s="529"/>
      <c r="I158" s="529"/>
      <c r="J158" s="529"/>
      <c r="K158" s="529"/>
      <c r="L158" s="529"/>
      <c r="M158" s="529"/>
      <c r="N158" s="529"/>
      <c r="O158" s="529"/>
      <c r="P158" s="529"/>
      <c r="Q158" s="529"/>
      <c r="R158" s="529"/>
      <c r="S158" s="529"/>
      <c r="T158" s="529"/>
      <c r="U158" s="529"/>
      <c r="V158" s="529"/>
      <c r="W158" s="529"/>
      <c r="X158" s="529"/>
      <c r="Y158" s="529"/>
      <c r="Z158" s="529"/>
      <c r="AA158" s="529"/>
      <c r="AB158" s="529"/>
      <c r="AC158" s="529"/>
      <c r="AD158" s="529"/>
      <c r="AE158" s="529"/>
      <c r="AF158" s="529"/>
      <c r="AG158" s="529"/>
    </row>
    <row r="159" spans="1:33" s="533" customFormat="1" ht="39.6">
      <c r="A159" s="531" t="s">
        <v>372</v>
      </c>
      <c r="B159" s="532" t="s">
        <v>621</v>
      </c>
      <c r="C159" s="532" t="s">
        <v>661</v>
      </c>
      <c r="D159" s="532" t="s">
        <v>370</v>
      </c>
      <c r="E159" s="532" t="s">
        <v>662</v>
      </c>
      <c r="F159" s="529"/>
      <c r="G159" s="529"/>
      <c r="H159" s="529"/>
      <c r="I159" s="529"/>
      <c r="J159" s="529"/>
      <c r="K159" s="529"/>
      <c r="L159" s="529"/>
      <c r="M159" s="529"/>
      <c r="N159" s="529"/>
      <c r="O159" s="529"/>
      <c r="P159" s="529"/>
      <c r="Q159" s="529"/>
      <c r="R159" s="529"/>
      <c r="S159" s="529"/>
      <c r="T159" s="529"/>
      <c r="U159" s="529"/>
      <c r="V159" s="529"/>
      <c r="W159" s="529"/>
      <c r="X159" s="529"/>
      <c r="Y159" s="529"/>
      <c r="Z159" s="529"/>
      <c r="AA159" s="529"/>
      <c r="AB159" s="529"/>
      <c r="AC159" s="529"/>
      <c r="AD159" s="529"/>
      <c r="AE159" s="529"/>
      <c r="AF159" s="529"/>
      <c r="AG159" s="529"/>
    </row>
    <row r="160" spans="1:33" s="533" customFormat="1">
      <c r="A160" s="531" t="s">
        <v>372</v>
      </c>
      <c r="B160" s="532" t="s">
        <v>621</v>
      </c>
      <c r="C160" s="532" t="s">
        <v>663</v>
      </c>
      <c r="D160" s="532" t="s">
        <v>370</v>
      </c>
      <c r="E160" s="532" t="s">
        <v>664</v>
      </c>
      <c r="F160" s="529"/>
      <c r="G160" s="529"/>
      <c r="H160" s="529"/>
      <c r="I160" s="529"/>
      <c r="J160" s="529"/>
      <c r="K160" s="529"/>
      <c r="L160" s="529"/>
      <c r="M160" s="529"/>
      <c r="N160" s="529"/>
      <c r="O160" s="529"/>
      <c r="P160" s="529"/>
      <c r="Q160" s="529"/>
      <c r="R160" s="529"/>
      <c r="S160" s="529"/>
      <c r="T160" s="529"/>
      <c r="U160" s="529"/>
      <c r="V160" s="529"/>
      <c r="W160" s="529"/>
      <c r="X160" s="529"/>
      <c r="Y160" s="529"/>
      <c r="Z160" s="529"/>
      <c r="AA160" s="529"/>
      <c r="AB160" s="529"/>
      <c r="AC160" s="529"/>
      <c r="AD160" s="529"/>
      <c r="AE160" s="529"/>
      <c r="AF160" s="529"/>
      <c r="AG160" s="529"/>
    </row>
    <row r="161" spans="1:33" s="533" customFormat="1" ht="66">
      <c r="A161" s="531" t="s">
        <v>372</v>
      </c>
      <c r="B161" s="532" t="s">
        <v>621</v>
      </c>
      <c r="C161" s="532" t="s">
        <v>665</v>
      </c>
      <c r="D161" s="532" t="s">
        <v>370</v>
      </c>
      <c r="E161" s="532" t="s">
        <v>666</v>
      </c>
      <c r="F161" s="529"/>
      <c r="G161" s="529"/>
      <c r="H161" s="529"/>
      <c r="I161" s="529"/>
      <c r="J161" s="529"/>
      <c r="K161" s="529"/>
      <c r="L161" s="529"/>
      <c r="M161" s="529"/>
      <c r="N161" s="529"/>
      <c r="O161" s="529"/>
      <c r="P161" s="529"/>
      <c r="Q161" s="529"/>
      <c r="R161" s="529"/>
      <c r="S161" s="529"/>
      <c r="T161" s="529"/>
      <c r="U161" s="529"/>
      <c r="V161" s="529"/>
      <c r="W161" s="529"/>
      <c r="X161" s="529"/>
      <c r="Y161" s="529"/>
      <c r="Z161" s="529"/>
      <c r="AA161" s="529"/>
      <c r="AB161" s="529"/>
      <c r="AC161" s="529"/>
      <c r="AD161" s="529"/>
      <c r="AE161" s="529"/>
      <c r="AF161" s="529"/>
      <c r="AG161" s="529"/>
    </row>
    <row r="162" spans="1:33" s="533" customFormat="1" ht="52.8">
      <c r="A162" s="531" t="s">
        <v>372</v>
      </c>
      <c r="B162" s="532" t="s">
        <v>621</v>
      </c>
      <c r="C162" s="532" t="s">
        <v>667</v>
      </c>
      <c r="D162" s="532" t="s">
        <v>370</v>
      </c>
      <c r="E162" s="532" t="s">
        <v>668</v>
      </c>
      <c r="F162" s="529"/>
      <c r="G162" s="529"/>
      <c r="H162" s="529"/>
      <c r="I162" s="529"/>
      <c r="J162" s="529"/>
      <c r="K162" s="529"/>
      <c r="L162" s="529"/>
      <c r="M162" s="529"/>
      <c r="N162" s="529"/>
      <c r="O162" s="529"/>
      <c r="P162" s="529"/>
      <c r="Q162" s="529"/>
      <c r="R162" s="529"/>
      <c r="S162" s="529"/>
      <c r="T162" s="529"/>
      <c r="U162" s="529"/>
      <c r="V162" s="529"/>
      <c r="W162" s="529"/>
      <c r="X162" s="529"/>
      <c r="Y162" s="529"/>
      <c r="Z162" s="529"/>
      <c r="AA162" s="529"/>
      <c r="AB162" s="529"/>
      <c r="AC162" s="529"/>
      <c r="AD162" s="529"/>
      <c r="AE162" s="529"/>
      <c r="AF162" s="529"/>
      <c r="AG162" s="529"/>
    </row>
    <row r="163" spans="1:33" s="533" customFormat="1" ht="39.6">
      <c r="A163" s="531" t="s">
        <v>372</v>
      </c>
      <c r="B163" s="532" t="s">
        <v>621</v>
      </c>
      <c r="C163" s="532" t="s">
        <v>669</v>
      </c>
      <c r="D163" s="532" t="s">
        <v>370</v>
      </c>
      <c r="E163" s="532" t="s">
        <v>670</v>
      </c>
      <c r="F163" s="529"/>
      <c r="G163" s="529"/>
      <c r="H163" s="529"/>
      <c r="I163" s="529"/>
      <c r="J163" s="529"/>
      <c r="K163" s="529"/>
      <c r="L163" s="529"/>
      <c r="M163" s="529"/>
      <c r="N163" s="529"/>
      <c r="O163" s="529"/>
      <c r="P163" s="529"/>
      <c r="Q163" s="529"/>
      <c r="R163" s="529"/>
      <c r="S163" s="529"/>
      <c r="T163" s="529"/>
      <c r="U163" s="529"/>
      <c r="V163" s="529"/>
      <c r="W163" s="529"/>
      <c r="X163" s="529"/>
      <c r="Y163" s="529"/>
      <c r="Z163" s="529"/>
      <c r="AA163" s="529"/>
      <c r="AB163" s="529"/>
      <c r="AC163" s="529"/>
      <c r="AD163" s="529"/>
      <c r="AE163" s="529"/>
      <c r="AF163" s="529"/>
      <c r="AG163" s="529"/>
    </row>
    <row r="164" spans="1:33" s="533" customFormat="1" ht="39.6">
      <c r="A164" s="531" t="s">
        <v>372</v>
      </c>
      <c r="B164" s="532" t="s">
        <v>621</v>
      </c>
      <c r="C164" s="532" t="s">
        <v>671</v>
      </c>
      <c r="D164" s="532" t="s">
        <v>370</v>
      </c>
      <c r="E164" s="532" t="s">
        <v>672</v>
      </c>
      <c r="F164" s="529"/>
      <c r="G164" s="529"/>
      <c r="H164" s="529"/>
      <c r="I164" s="529"/>
      <c r="J164" s="529"/>
      <c r="K164" s="529"/>
      <c r="L164" s="529"/>
      <c r="M164" s="529"/>
      <c r="N164" s="529"/>
      <c r="O164" s="529"/>
      <c r="P164" s="529"/>
      <c r="Q164" s="529"/>
      <c r="R164" s="529"/>
      <c r="S164" s="529"/>
      <c r="T164" s="529"/>
      <c r="U164" s="529"/>
      <c r="V164" s="529"/>
      <c r="W164" s="529"/>
      <c r="X164" s="529"/>
      <c r="Y164" s="529"/>
      <c r="Z164" s="529"/>
      <c r="AA164" s="529"/>
      <c r="AB164" s="529"/>
      <c r="AC164" s="529"/>
      <c r="AD164" s="529"/>
      <c r="AE164" s="529"/>
      <c r="AF164" s="529"/>
      <c r="AG164" s="529"/>
    </row>
    <row r="165" spans="1:33" s="533" customFormat="1" ht="79.2">
      <c r="A165" s="531" t="s">
        <v>372</v>
      </c>
      <c r="B165" s="532" t="s">
        <v>621</v>
      </c>
      <c r="C165" s="532" t="s">
        <v>673</v>
      </c>
      <c r="D165" s="532" t="s">
        <v>370</v>
      </c>
      <c r="E165" s="532" t="s">
        <v>674</v>
      </c>
      <c r="F165" s="529"/>
      <c r="G165" s="529"/>
      <c r="H165" s="529"/>
      <c r="I165" s="529"/>
      <c r="J165" s="529"/>
      <c r="K165" s="529"/>
      <c r="L165" s="529"/>
      <c r="M165" s="529"/>
      <c r="N165" s="529"/>
      <c r="O165" s="529"/>
      <c r="P165" s="529"/>
      <c r="Q165" s="529"/>
      <c r="R165" s="529"/>
      <c r="S165" s="529"/>
      <c r="T165" s="529"/>
      <c r="U165" s="529"/>
      <c r="V165" s="529"/>
      <c r="W165" s="529"/>
      <c r="X165" s="529"/>
      <c r="Y165" s="529"/>
      <c r="Z165" s="529"/>
      <c r="AA165" s="529"/>
      <c r="AB165" s="529"/>
      <c r="AC165" s="529"/>
      <c r="AD165" s="529"/>
      <c r="AE165" s="529"/>
      <c r="AF165" s="529"/>
      <c r="AG165" s="529"/>
    </row>
    <row r="166" spans="1:33" s="533" customFormat="1" ht="66">
      <c r="A166" s="531" t="s">
        <v>372</v>
      </c>
      <c r="B166" s="532" t="s">
        <v>621</v>
      </c>
      <c r="C166" s="532" t="s">
        <v>675</v>
      </c>
      <c r="D166" s="532" t="s">
        <v>370</v>
      </c>
      <c r="E166" s="532" t="s">
        <v>676</v>
      </c>
      <c r="F166" s="529"/>
      <c r="G166" s="529"/>
      <c r="H166" s="529"/>
      <c r="I166" s="529"/>
      <c r="J166" s="529"/>
      <c r="K166" s="529"/>
      <c r="L166" s="529"/>
      <c r="M166" s="529"/>
      <c r="N166" s="529"/>
      <c r="O166" s="529"/>
      <c r="P166" s="529"/>
      <c r="Q166" s="529"/>
      <c r="R166" s="529"/>
      <c r="S166" s="529"/>
      <c r="T166" s="529"/>
      <c r="U166" s="529"/>
      <c r="V166" s="529"/>
      <c r="W166" s="529"/>
      <c r="X166" s="529"/>
      <c r="Y166" s="529"/>
      <c r="Z166" s="529"/>
      <c r="AA166" s="529"/>
      <c r="AB166" s="529"/>
      <c r="AC166" s="529"/>
      <c r="AD166" s="529"/>
      <c r="AE166" s="529"/>
      <c r="AF166" s="529"/>
      <c r="AG166" s="529"/>
    </row>
    <row r="167" spans="1:33" s="533" customFormat="1" ht="39.6">
      <c r="A167" s="531" t="s">
        <v>372</v>
      </c>
      <c r="B167" s="532" t="s">
        <v>621</v>
      </c>
      <c r="C167" s="532" t="s">
        <v>677</v>
      </c>
      <c r="D167" s="532" t="s">
        <v>370</v>
      </c>
      <c r="E167" s="532" t="s">
        <v>678</v>
      </c>
      <c r="F167" s="529"/>
      <c r="G167" s="529"/>
      <c r="H167" s="529"/>
      <c r="I167" s="529"/>
      <c r="J167" s="529"/>
      <c r="K167" s="529"/>
      <c r="L167" s="529"/>
      <c r="M167" s="529"/>
      <c r="N167" s="529"/>
      <c r="O167" s="529"/>
      <c r="P167" s="529"/>
      <c r="Q167" s="529"/>
      <c r="R167" s="529"/>
      <c r="S167" s="529"/>
      <c r="T167" s="529"/>
      <c r="U167" s="529"/>
      <c r="V167" s="529"/>
      <c r="W167" s="529"/>
      <c r="X167" s="529"/>
      <c r="Y167" s="529"/>
      <c r="Z167" s="529"/>
      <c r="AA167" s="529"/>
      <c r="AB167" s="529"/>
      <c r="AC167" s="529"/>
      <c r="AD167" s="529"/>
      <c r="AE167" s="529"/>
      <c r="AF167" s="529"/>
      <c r="AG167" s="529"/>
    </row>
    <row r="168" spans="1:33" s="533" customFormat="1" ht="26.4">
      <c r="A168" s="531" t="s">
        <v>372</v>
      </c>
      <c r="B168" s="532" t="s">
        <v>621</v>
      </c>
      <c r="C168" s="532" t="s">
        <v>679</v>
      </c>
      <c r="D168" s="532" t="s">
        <v>370</v>
      </c>
      <c r="E168" s="532" t="s">
        <v>680</v>
      </c>
      <c r="F168" s="529"/>
      <c r="G168" s="529"/>
      <c r="H168" s="529"/>
      <c r="I168" s="529"/>
      <c r="J168" s="529"/>
      <c r="K168" s="529"/>
      <c r="L168" s="529"/>
      <c r="M168" s="529"/>
      <c r="N168" s="529"/>
      <c r="O168" s="529"/>
      <c r="P168" s="529"/>
      <c r="Q168" s="529"/>
      <c r="R168" s="529"/>
      <c r="S168" s="529"/>
      <c r="T168" s="529"/>
      <c r="U168" s="529"/>
      <c r="V168" s="529"/>
      <c r="W168" s="529"/>
      <c r="X168" s="529"/>
      <c r="Y168" s="529"/>
      <c r="Z168" s="529"/>
      <c r="AA168" s="529"/>
      <c r="AB168" s="529"/>
      <c r="AC168" s="529"/>
      <c r="AD168" s="529"/>
      <c r="AE168" s="529"/>
      <c r="AF168" s="529"/>
      <c r="AG168" s="529"/>
    </row>
    <row r="169" spans="1:33" s="533" customFormat="1" ht="39.6">
      <c r="A169" s="531" t="s">
        <v>372</v>
      </c>
      <c r="B169" s="532" t="s">
        <v>621</v>
      </c>
      <c r="C169" s="532" t="s">
        <v>681</v>
      </c>
      <c r="D169" s="532" t="s">
        <v>370</v>
      </c>
      <c r="E169" s="532" t="s">
        <v>682</v>
      </c>
      <c r="F169" s="529"/>
      <c r="G169" s="529"/>
      <c r="H169" s="529"/>
      <c r="I169" s="529"/>
      <c r="J169" s="529"/>
      <c r="K169" s="529"/>
      <c r="L169" s="529"/>
      <c r="M169" s="529"/>
      <c r="N169" s="529"/>
      <c r="O169" s="529"/>
      <c r="P169" s="529"/>
      <c r="Q169" s="529"/>
      <c r="R169" s="529"/>
      <c r="S169" s="529"/>
      <c r="T169" s="529"/>
      <c r="U169" s="529"/>
      <c r="V169" s="529"/>
      <c r="W169" s="529"/>
      <c r="X169" s="529"/>
      <c r="Y169" s="529"/>
      <c r="Z169" s="529"/>
      <c r="AA169" s="529"/>
      <c r="AB169" s="529"/>
      <c r="AC169" s="529"/>
      <c r="AD169" s="529"/>
      <c r="AE169" s="529"/>
      <c r="AF169" s="529"/>
      <c r="AG169" s="529"/>
    </row>
    <row r="170" spans="1:33" s="533" customFormat="1" ht="26.4">
      <c r="A170" s="531" t="s">
        <v>372</v>
      </c>
      <c r="B170" s="532" t="s">
        <v>621</v>
      </c>
      <c r="C170" s="532" t="s">
        <v>683</v>
      </c>
      <c r="D170" s="532" t="s">
        <v>370</v>
      </c>
      <c r="E170" s="532" t="s">
        <v>684</v>
      </c>
      <c r="F170" s="529"/>
      <c r="G170" s="529"/>
      <c r="H170" s="529"/>
      <c r="I170" s="529"/>
      <c r="J170" s="529"/>
      <c r="K170" s="529"/>
      <c r="L170" s="529"/>
      <c r="M170" s="529"/>
      <c r="N170" s="529"/>
      <c r="O170" s="529"/>
      <c r="P170" s="529"/>
      <c r="Q170" s="529"/>
      <c r="R170" s="529"/>
      <c r="S170" s="529"/>
      <c r="T170" s="529"/>
      <c r="U170" s="529"/>
      <c r="V170" s="529"/>
      <c r="W170" s="529"/>
      <c r="X170" s="529"/>
      <c r="Y170" s="529"/>
      <c r="Z170" s="529"/>
      <c r="AA170" s="529"/>
      <c r="AB170" s="529"/>
      <c r="AC170" s="529"/>
      <c r="AD170" s="529"/>
      <c r="AE170" s="529"/>
      <c r="AF170" s="529"/>
      <c r="AG170" s="529"/>
    </row>
    <row r="171" spans="1:33" s="533" customFormat="1" ht="26.4">
      <c r="A171" s="531" t="s">
        <v>372</v>
      </c>
      <c r="B171" s="532" t="s">
        <v>621</v>
      </c>
      <c r="C171" s="532" t="s">
        <v>685</v>
      </c>
      <c r="D171" s="532" t="s">
        <v>370</v>
      </c>
      <c r="E171" s="532" t="s">
        <v>686</v>
      </c>
      <c r="F171" s="529"/>
      <c r="G171" s="529"/>
      <c r="H171" s="529"/>
      <c r="I171" s="529"/>
      <c r="J171" s="529"/>
      <c r="K171" s="529"/>
      <c r="L171" s="529"/>
      <c r="M171" s="529"/>
      <c r="N171" s="529"/>
      <c r="O171" s="529"/>
      <c r="P171" s="529"/>
      <c r="Q171" s="529"/>
      <c r="R171" s="529"/>
      <c r="S171" s="529"/>
      <c r="T171" s="529"/>
      <c r="U171" s="529"/>
      <c r="V171" s="529"/>
      <c r="W171" s="529"/>
      <c r="X171" s="529"/>
      <c r="Y171" s="529"/>
      <c r="Z171" s="529"/>
      <c r="AA171" s="529"/>
      <c r="AB171" s="529"/>
      <c r="AC171" s="529"/>
      <c r="AD171" s="529"/>
      <c r="AE171" s="529"/>
      <c r="AF171" s="529"/>
      <c r="AG171" s="529"/>
    </row>
    <row r="172" spans="1:33" s="533" customFormat="1" ht="52.8">
      <c r="A172" s="531" t="s">
        <v>372</v>
      </c>
      <c r="B172" s="532" t="s">
        <v>621</v>
      </c>
      <c r="C172" s="532" t="s">
        <v>687</v>
      </c>
      <c r="D172" s="532" t="s">
        <v>370</v>
      </c>
      <c r="E172" s="532" t="s">
        <v>688</v>
      </c>
      <c r="F172" s="529"/>
      <c r="G172" s="529"/>
      <c r="H172" s="529"/>
      <c r="I172" s="529"/>
      <c r="J172" s="529"/>
      <c r="K172" s="529"/>
      <c r="L172" s="529"/>
      <c r="M172" s="529"/>
      <c r="N172" s="529"/>
      <c r="O172" s="529"/>
      <c r="P172" s="529"/>
      <c r="Q172" s="529"/>
      <c r="R172" s="529"/>
      <c r="S172" s="529"/>
      <c r="T172" s="529"/>
      <c r="U172" s="529"/>
      <c r="V172" s="529"/>
      <c r="W172" s="529"/>
      <c r="X172" s="529"/>
      <c r="Y172" s="529"/>
      <c r="Z172" s="529"/>
      <c r="AA172" s="529"/>
      <c r="AB172" s="529"/>
      <c r="AC172" s="529"/>
      <c r="AD172" s="529"/>
      <c r="AE172" s="529"/>
      <c r="AF172" s="529"/>
      <c r="AG172" s="529"/>
    </row>
    <row r="173" spans="1:33" s="533" customFormat="1" ht="66">
      <c r="A173" s="527" t="s">
        <v>365</v>
      </c>
      <c r="B173" s="514" t="s">
        <v>689</v>
      </c>
      <c r="C173" s="514" t="s">
        <v>622</v>
      </c>
      <c r="D173" s="514" t="s">
        <v>370</v>
      </c>
      <c r="E173" s="528" t="s">
        <v>690</v>
      </c>
      <c r="F173" s="529"/>
      <c r="G173" s="529"/>
      <c r="H173" s="529"/>
      <c r="I173" s="529"/>
      <c r="J173" s="529"/>
      <c r="K173" s="529"/>
      <c r="L173" s="529"/>
      <c r="M173" s="529"/>
      <c r="N173" s="529"/>
      <c r="O173" s="529"/>
      <c r="P173" s="529"/>
      <c r="Q173" s="529"/>
      <c r="R173" s="529"/>
      <c r="S173" s="529"/>
      <c r="T173" s="529"/>
      <c r="U173" s="529"/>
      <c r="V173" s="529"/>
      <c r="W173" s="529"/>
      <c r="X173" s="529"/>
      <c r="Y173" s="529"/>
      <c r="Z173" s="529"/>
      <c r="AA173" s="529"/>
      <c r="AB173" s="529"/>
      <c r="AC173" s="529"/>
      <c r="AD173" s="529"/>
      <c r="AE173" s="529"/>
      <c r="AF173" s="529"/>
      <c r="AG173" s="529"/>
    </row>
    <row r="174" spans="1:33" s="533" customFormat="1" ht="26.4">
      <c r="A174" s="531" t="s">
        <v>372</v>
      </c>
      <c r="B174" s="532" t="s">
        <v>689</v>
      </c>
      <c r="C174" s="532" t="s">
        <v>691</v>
      </c>
      <c r="D174" s="532" t="s">
        <v>370</v>
      </c>
      <c r="E174" s="532" t="s">
        <v>692</v>
      </c>
      <c r="F174" s="529"/>
      <c r="G174" s="529"/>
      <c r="H174" s="529"/>
      <c r="I174" s="529"/>
      <c r="J174" s="529"/>
      <c r="K174" s="529"/>
      <c r="L174" s="529"/>
      <c r="M174" s="529"/>
      <c r="N174" s="529"/>
      <c r="O174" s="529"/>
      <c r="P174" s="529"/>
      <c r="Q174" s="529"/>
      <c r="R174" s="529"/>
      <c r="S174" s="529"/>
      <c r="T174" s="529"/>
      <c r="U174" s="529"/>
      <c r="V174" s="529"/>
      <c r="W174" s="529"/>
      <c r="X174" s="529"/>
      <c r="Y174" s="529"/>
      <c r="Z174" s="529"/>
      <c r="AA174" s="529"/>
      <c r="AB174" s="529"/>
      <c r="AC174" s="529"/>
      <c r="AD174" s="529"/>
      <c r="AE174" s="529"/>
      <c r="AF174" s="529"/>
      <c r="AG174" s="529"/>
    </row>
    <row r="175" spans="1:33" s="533" customFormat="1" ht="79.2">
      <c r="A175" s="531" t="s">
        <v>372</v>
      </c>
      <c r="B175" s="532" t="s">
        <v>689</v>
      </c>
      <c r="C175" s="532" t="s">
        <v>693</v>
      </c>
      <c r="D175" s="532" t="s">
        <v>370</v>
      </c>
      <c r="E175" s="532" t="s">
        <v>694</v>
      </c>
      <c r="F175" s="529"/>
      <c r="G175" s="529"/>
      <c r="H175" s="529"/>
      <c r="I175" s="529"/>
      <c r="J175" s="529"/>
      <c r="K175" s="529"/>
      <c r="L175" s="529"/>
      <c r="M175" s="529"/>
      <c r="N175" s="529"/>
      <c r="O175" s="529"/>
      <c r="P175" s="529"/>
      <c r="Q175" s="529"/>
      <c r="R175" s="529"/>
      <c r="S175" s="529"/>
      <c r="T175" s="529"/>
      <c r="U175" s="529"/>
      <c r="V175" s="529"/>
      <c r="W175" s="529"/>
      <c r="X175" s="529"/>
      <c r="Y175" s="529"/>
      <c r="Z175" s="529"/>
      <c r="AA175" s="529"/>
      <c r="AB175" s="529"/>
      <c r="AC175" s="529"/>
      <c r="AD175" s="529"/>
      <c r="AE175" s="529"/>
      <c r="AF175" s="529"/>
      <c r="AG175" s="529"/>
    </row>
    <row r="176" spans="1:33" s="533" customFormat="1" ht="26.4">
      <c r="A176" s="531" t="s">
        <v>372</v>
      </c>
      <c r="B176" s="532" t="s">
        <v>689</v>
      </c>
      <c r="C176" s="532" t="s">
        <v>695</v>
      </c>
      <c r="D176" s="532" t="s">
        <v>370</v>
      </c>
      <c r="E176" s="532" t="s">
        <v>696</v>
      </c>
      <c r="F176" s="529"/>
      <c r="G176" s="529"/>
      <c r="H176" s="529"/>
      <c r="I176" s="529"/>
      <c r="J176" s="529"/>
      <c r="K176" s="529"/>
      <c r="L176" s="529"/>
      <c r="M176" s="529"/>
      <c r="N176" s="529"/>
      <c r="O176" s="529"/>
      <c r="P176" s="529"/>
      <c r="Q176" s="529"/>
      <c r="R176" s="529"/>
      <c r="S176" s="529"/>
      <c r="T176" s="529"/>
      <c r="U176" s="529"/>
      <c r="V176" s="529"/>
      <c r="W176" s="529"/>
      <c r="X176" s="529"/>
      <c r="Y176" s="529"/>
      <c r="Z176" s="529"/>
      <c r="AA176" s="529"/>
      <c r="AB176" s="529"/>
      <c r="AC176" s="529"/>
      <c r="AD176" s="529"/>
      <c r="AE176" s="529"/>
      <c r="AF176" s="529"/>
      <c r="AG176" s="529"/>
    </row>
    <row r="177" spans="1:33" s="533" customFormat="1" ht="39.6">
      <c r="A177" s="531" t="s">
        <v>372</v>
      </c>
      <c r="B177" s="532" t="s">
        <v>689</v>
      </c>
      <c r="C177" s="532" t="s">
        <v>697</v>
      </c>
      <c r="D177" s="532" t="s">
        <v>370</v>
      </c>
      <c r="E177" s="532" t="s">
        <v>698</v>
      </c>
      <c r="F177" s="529"/>
      <c r="G177" s="529"/>
      <c r="H177" s="529"/>
      <c r="I177" s="529"/>
      <c r="J177" s="529"/>
      <c r="K177" s="529"/>
      <c r="L177" s="529"/>
      <c r="M177" s="529"/>
      <c r="N177" s="529"/>
      <c r="O177" s="529"/>
      <c r="P177" s="529"/>
      <c r="Q177" s="529"/>
      <c r="R177" s="529"/>
      <c r="S177" s="529"/>
      <c r="T177" s="529"/>
      <c r="U177" s="529"/>
      <c r="V177" s="529"/>
      <c r="W177" s="529"/>
      <c r="X177" s="529"/>
      <c r="Y177" s="529"/>
      <c r="Z177" s="529"/>
      <c r="AA177" s="529"/>
      <c r="AB177" s="529"/>
      <c r="AC177" s="529"/>
      <c r="AD177" s="529"/>
      <c r="AE177" s="529"/>
      <c r="AF177" s="529"/>
      <c r="AG177" s="529"/>
    </row>
    <row r="178" spans="1:33" s="533" customFormat="1" ht="52.8">
      <c r="A178" s="531" t="s">
        <v>372</v>
      </c>
      <c r="B178" s="532" t="s">
        <v>689</v>
      </c>
      <c r="C178" s="532" t="s">
        <v>699</v>
      </c>
      <c r="D178" s="532" t="s">
        <v>370</v>
      </c>
      <c r="E178" s="532" t="s">
        <v>700</v>
      </c>
      <c r="F178" s="529"/>
      <c r="G178" s="529"/>
      <c r="H178" s="529"/>
      <c r="I178" s="529"/>
      <c r="J178" s="529"/>
      <c r="K178" s="529"/>
      <c r="L178" s="529"/>
      <c r="M178" s="529"/>
      <c r="N178" s="529"/>
      <c r="O178" s="529"/>
      <c r="P178" s="529"/>
      <c r="Q178" s="529"/>
      <c r="R178" s="529"/>
      <c r="S178" s="529"/>
      <c r="T178" s="529"/>
      <c r="U178" s="529"/>
      <c r="V178" s="529"/>
      <c r="W178" s="529"/>
      <c r="X178" s="529"/>
      <c r="Y178" s="529"/>
      <c r="Z178" s="529"/>
      <c r="AA178" s="529"/>
      <c r="AB178" s="529"/>
      <c r="AC178" s="529"/>
      <c r="AD178" s="529"/>
      <c r="AE178" s="529"/>
      <c r="AF178" s="529"/>
      <c r="AG178" s="529"/>
    </row>
    <row r="179" spans="1:33" s="533" customFormat="1">
      <c r="A179" s="531" t="s">
        <v>372</v>
      </c>
      <c r="B179" s="532" t="s">
        <v>689</v>
      </c>
      <c r="C179" s="532" t="s">
        <v>701</v>
      </c>
      <c r="D179" s="532" t="s">
        <v>370</v>
      </c>
      <c r="E179" s="532" t="s">
        <v>702</v>
      </c>
      <c r="F179" s="529"/>
      <c r="G179" s="529"/>
      <c r="H179" s="529"/>
      <c r="I179" s="529"/>
      <c r="J179" s="529"/>
      <c r="K179" s="529"/>
      <c r="L179" s="529"/>
      <c r="M179" s="529"/>
      <c r="N179" s="529"/>
      <c r="O179" s="529"/>
      <c r="P179" s="529"/>
      <c r="Q179" s="529"/>
      <c r="R179" s="529"/>
      <c r="S179" s="529"/>
      <c r="T179" s="529"/>
      <c r="U179" s="529"/>
      <c r="V179" s="529"/>
      <c r="W179" s="529"/>
      <c r="X179" s="529"/>
      <c r="Y179" s="529"/>
      <c r="Z179" s="529"/>
      <c r="AA179" s="529"/>
      <c r="AB179" s="529"/>
      <c r="AC179" s="529"/>
      <c r="AD179" s="529"/>
      <c r="AE179" s="529"/>
      <c r="AF179" s="529"/>
      <c r="AG179" s="529"/>
    </row>
    <row r="180" spans="1:33" s="533" customFormat="1">
      <c r="A180" s="531" t="s">
        <v>372</v>
      </c>
      <c r="B180" s="532" t="s">
        <v>689</v>
      </c>
      <c r="C180" s="532" t="s">
        <v>703</v>
      </c>
      <c r="D180" s="532" t="s">
        <v>370</v>
      </c>
      <c r="E180" s="532" t="s">
        <v>704</v>
      </c>
      <c r="F180" s="529"/>
      <c r="G180" s="529"/>
      <c r="H180" s="529"/>
      <c r="I180" s="529"/>
      <c r="J180" s="529"/>
      <c r="K180" s="529"/>
      <c r="L180" s="529"/>
      <c r="M180" s="529"/>
      <c r="N180" s="529"/>
      <c r="O180" s="529"/>
      <c r="P180" s="529"/>
      <c r="Q180" s="529"/>
      <c r="R180" s="529"/>
      <c r="S180" s="529"/>
      <c r="T180" s="529"/>
      <c r="U180" s="529"/>
      <c r="V180" s="529"/>
      <c r="W180" s="529"/>
      <c r="X180" s="529"/>
      <c r="Y180" s="529"/>
      <c r="Z180" s="529"/>
      <c r="AA180" s="529"/>
      <c r="AB180" s="529"/>
      <c r="AC180" s="529"/>
      <c r="AD180" s="529"/>
      <c r="AE180" s="529"/>
      <c r="AF180" s="529"/>
      <c r="AG180" s="529"/>
    </row>
    <row r="181" spans="1:33" s="533" customFormat="1">
      <c r="A181" s="531" t="s">
        <v>372</v>
      </c>
      <c r="B181" s="532" t="s">
        <v>689</v>
      </c>
      <c r="C181" s="532" t="s">
        <v>705</v>
      </c>
      <c r="D181" s="532" t="s">
        <v>370</v>
      </c>
      <c r="E181" s="532" t="s">
        <v>706</v>
      </c>
      <c r="F181" s="529"/>
      <c r="G181" s="529"/>
      <c r="H181" s="529"/>
      <c r="I181" s="529"/>
      <c r="J181" s="529"/>
      <c r="K181" s="529"/>
      <c r="L181" s="529"/>
      <c r="M181" s="529"/>
      <c r="N181" s="529"/>
      <c r="O181" s="529"/>
      <c r="P181" s="529"/>
      <c r="Q181" s="529"/>
      <c r="R181" s="529"/>
      <c r="S181" s="529"/>
      <c r="T181" s="529"/>
      <c r="U181" s="529"/>
      <c r="V181" s="529"/>
      <c r="W181" s="529"/>
      <c r="X181" s="529"/>
      <c r="Y181" s="529"/>
      <c r="Z181" s="529"/>
      <c r="AA181" s="529"/>
      <c r="AB181" s="529"/>
      <c r="AC181" s="529"/>
      <c r="AD181" s="529"/>
      <c r="AE181" s="529"/>
      <c r="AF181" s="529"/>
      <c r="AG181" s="529"/>
    </row>
    <row r="182" spans="1:33" s="533" customFormat="1" ht="52.8">
      <c r="A182" s="531" t="s">
        <v>372</v>
      </c>
      <c r="B182" s="532" t="s">
        <v>689</v>
      </c>
      <c r="C182" s="532" t="s">
        <v>707</v>
      </c>
      <c r="D182" s="532" t="s">
        <v>370</v>
      </c>
      <c r="E182" s="532" t="s">
        <v>708</v>
      </c>
      <c r="F182" s="529"/>
      <c r="G182" s="529"/>
      <c r="H182" s="529"/>
      <c r="I182" s="529"/>
      <c r="J182" s="529"/>
      <c r="K182" s="529"/>
      <c r="L182" s="529"/>
      <c r="M182" s="529"/>
      <c r="N182" s="529"/>
      <c r="O182" s="529"/>
      <c r="P182" s="529"/>
      <c r="Q182" s="529"/>
      <c r="R182" s="529"/>
      <c r="S182" s="529"/>
      <c r="T182" s="529"/>
      <c r="U182" s="529"/>
      <c r="V182" s="529"/>
      <c r="W182" s="529"/>
      <c r="X182" s="529"/>
      <c r="Y182" s="529"/>
      <c r="Z182" s="529"/>
      <c r="AA182" s="529"/>
      <c r="AB182" s="529"/>
      <c r="AC182" s="529"/>
      <c r="AD182" s="529"/>
      <c r="AE182" s="529"/>
      <c r="AF182" s="529"/>
      <c r="AG182" s="529"/>
    </row>
    <row r="183" spans="1:33" s="533" customFormat="1" ht="52.8">
      <c r="A183" s="531" t="s">
        <v>372</v>
      </c>
      <c r="B183" s="532" t="s">
        <v>689</v>
      </c>
      <c r="C183" s="532" t="s">
        <v>709</v>
      </c>
      <c r="D183" s="532" t="s">
        <v>370</v>
      </c>
      <c r="E183" s="532" t="s">
        <v>710</v>
      </c>
      <c r="F183" s="529"/>
      <c r="G183" s="529"/>
      <c r="H183" s="529"/>
      <c r="I183" s="529"/>
      <c r="J183" s="529"/>
      <c r="K183" s="529"/>
      <c r="L183" s="529"/>
      <c r="M183" s="529"/>
      <c r="N183" s="529"/>
      <c r="O183" s="529"/>
      <c r="P183" s="529"/>
      <c r="Q183" s="529"/>
      <c r="R183" s="529"/>
      <c r="S183" s="529"/>
      <c r="T183" s="529"/>
      <c r="U183" s="529"/>
      <c r="V183" s="529"/>
      <c r="W183" s="529"/>
      <c r="X183" s="529"/>
      <c r="Y183" s="529"/>
      <c r="Z183" s="529"/>
      <c r="AA183" s="529"/>
      <c r="AB183" s="529"/>
      <c r="AC183" s="529"/>
      <c r="AD183" s="529"/>
      <c r="AE183" s="529"/>
      <c r="AF183" s="529"/>
      <c r="AG183" s="529"/>
    </row>
    <row r="184" spans="1:33" s="533" customFormat="1" ht="26.4">
      <c r="A184" s="531" t="s">
        <v>372</v>
      </c>
      <c r="B184" s="532" t="s">
        <v>689</v>
      </c>
      <c r="C184" s="532" t="s">
        <v>711</v>
      </c>
      <c r="D184" s="532" t="s">
        <v>370</v>
      </c>
      <c r="E184" s="532" t="s">
        <v>712</v>
      </c>
      <c r="F184" s="529"/>
      <c r="G184" s="529"/>
      <c r="H184" s="529"/>
      <c r="I184" s="529"/>
      <c r="J184" s="529"/>
      <c r="K184" s="529"/>
      <c r="L184" s="529"/>
      <c r="M184" s="529"/>
      <c r="N184" s="529"/>
      <c r="O184" s="529"/>
      <c r="P184" s="529"/>
      <c r="Q184" s="529"/>
      <c r="R184" s="529"/>
      <c r="S184" s="529"/>
      <c r="T184" s="529"/>
      <c r="U184" s="529"/>
      <c r="V184" s="529"/>
      <c r="W184" s="529"/>
      <c r="X184" s="529"/>
      <c r="Y184" s="529"/>
      <c r="Z184" s="529"/>
      <c r="AA184" s="529"/>
      <c r="AB184" s="529"/>
      <c r="AC184" s="529"/>
      <c r="AD184" s="529"/>
      <c r="AE184" s="529"/>
      <c r="AF184" s="529"/>
      <c r="AG184" s="529"/>
    </row>
    <row r="185" spans="1:33" s="533" customFormat="1">
      <c r="A185" s="531" t="s">
        <v>372</v>
      </c>
      <c r="B185" s="532" t="s">
        <v>689</v>
      </c>
      <c r="C185" s="532" t="s">
        <v>713</v>
      </c>
      <c r="D185" s="532" t="s">
        <v>370</v>
      </c>
      <c r="E185" s="532" t="s">
        <v>714</v>
      </c>
      <c r="F185" s="529"/>
      <c r="G185" s="529"/>
      <c r="H185" s="529"/>
      <c r="I185" s="529"/>
      <c r="J185" s="529"/>
      <c r="K185" s="529"/>
      <c r="L185" s="529"/>
      <c r="M185" s="529"/>
      <c r="N185" s="529"/>
      <c r="O185" s="529"/>
      <c r="P185" s="529"/>
      <c r="Q185" s="529"/>
      <c r="R185" s="529"/>
      <c r="S185" s="529"/>
      <c r="T185" s="529"/>
      <c r="U185" s="529"/>
      <c r="V185" s="529"/>
      <c r="W185" s="529"/>
      <c r="X185" s="529"/>
      <c r="Y185" s="529"/>
      <c r="Z185" s="529"/>
      <c r="AA185" s="529"/>
      <c r="AB185" s="529"/>
      <c r="AC185" s="529"/>
      <c r="AD185" s="529"/>
      <c r="AE185" s="529"/>
      <c r="AF185" s="529"/>
      <c r="AG185" s="529"/>
    </row>
    <row r="186" spans="1:33" s="533" customFormat="1" ht="52.8">
      <c r="A186" s="531" t="s">
        <v>372</v>
      </c>
      <c r="B186" s="532" t="s">
        <v>689</v>
      </c>
      <c r="C186" s="532" t="s">
        <v>715</v>
      </c>
      <c r="D186" s="532" t="s">
        <v>370</v>
      </c>
      <c r="E186" s="532" t="s">
        <v>716</v>
      </c>
      <c r="F186" s="529"/>
      <c r="G186" s="529"/>
      <c r="H186" s="529"/>
      <c r="I186" s="529"/>
      <c r="J186" s="529"/>
      <c r="K186" s="529"/>
      <c r="L186" s="529"/>
      <c r="M186" s="529"/>
      <c r="N186" s="529"/>
      <c r="O186" s="529"/>
      <c r="P186" s="529"/>
      <c r="Q186" s="529"/>
      <c r="R186" s="529"/>
      <c r="S186" s="529"/>
      <c r="T186" s="529"/>
      <c r="U186" s="529"/>
      <c r="V186" s="529"/>
      <c r="W186" s="529"/>
      <c r="X186" s="529"/>
      <c r="Y186" s="529"/>
      <c r="Z186" s="529"/>
      <c r="AA186" s="529"/>
      <c r="AB186" s="529"/>
      <c r="AC186" s="529"/>
      <c r="AD186" s="529"/>
      <c r="AE186" s="529"/>
      <c r="AF186" s="529"/>
      <c r="AG186" s="529"/>
    </row>
    <row r="187" spans="1:33" s="533" customFormat="1" ht="39.6">
      <c r="A187" s="531" t="s">
        <v>372</v>
      </c>
      <c r="B187" s="532" t="s">
        <v>689</v>
      </c>
      <c r="C187" s="532" t="s">
        <v>717</v>
      </c>
      <c r="D187" s="532" t="s">
        <v>370</v>
      </c>
      <c r="E187" s="532" t="s">
        <v>718</v>
      </c>
      <c r="F187" s="529"/>
      <c r="G187" s="529"/>
      <c r="H187" s="529"/>
      <c r="I187" s="529"/>
      <c r="J187" s="529"/>
      <c r="K187" s="529"/>
      <c r="L187" s="529"/>
      <c r="M187" s="529"/>
      <c r="N187" s="529"/>
      <c r="O187" s="529"/>
      <c r="P187" s="529"/>
      <c r="Q187" s="529"/>
      <c r="R187" s="529"/>
      <c r="S187" s="529"/>
      <c r="T187" s="529"/>
      <c r="U187" s="529"/>
      <c r="V187" s="529"/>
      <c r="W187" s="529"/>
      <c r="X187" s="529"/>
      <c r="Y187" s="529"/>
      <c r="Z187" s="529"/>
      <c r="AA187" s="529"/>
      <c r="AB187" s="529"/>
      <c r="AC187" s="529"/>
      <c r="AD187" s="529"/>
      <c r="AE187" s="529"/>
      <c r="AF187" s="529"/>
      <c r="AG187" s="529"/>
    </row>
    <row r="188" spans="1:33" s="533" customFormat="1" ht="57.6">
      <c r="A188" s="531" t="s">
        <v>372</v>
      </c>
      <c r="B188" s="532" t="s">
        <v>689</v>
      </c>
      <c r="C188" s="532" t="s">
        <v>719</v>
      </c>
      <c r="D188" s="532" t="s">
        <v>370</v>
      </c>
      <c r="E188" s="546" t="s">
        <v>720</v>
      </c>
      <c r="F188" s="529"/>
      <c r="G188" s="529"/>
      <c r="H188" s="529"/>
      <c r="I188" s="529"/>
      <c r="J188" s="529"/>
      <c r="K188" s="529"/>
      <c r="L188" s="529"/>
      <c r="M188" s="529"/>
      <c r="N188" s="529"/>
      <c r="O188" s="529"/>
      <c r="P188" s="529"/>
      <c r="Q188" s="529"/>
      <c r="R188" s="529"/>
      <c r="S188" s="529"/>
      <c r="T188" s="529"/>
      <c r="U188" s="529"/>
      <c r="V188" s="529"/>
      <c r="W188" s="529"/>
      <c r="X188" s="529"/>
      <c r="Y188" s="529"/>
      <c r="Z188" s="529"/>
      <c r="AA188" s="529"/>
      <c r="AB188" s="529"/>
      <c r="AC188" s="529"/>
      <c r="AD188" s="529"/>
      <c r="AE188" s="529"/>
      <c r="AF188" s="529"/>
      <c r="AG188" s="529"/>
    </row>
    <row r="189" spans="1:33" s="533" customFormat="1" ht="79.2">
      <c r="A189" s="531" t="s">
        <v>372</v>
      </c>
      <c r="B189" s="532" t="s">
        <v>689</v>
      </c>
      <c r="C189" s="532" t="s">
        <v>721</v>
      </c>
      <c r="D189" s="532" t="s">
        <v>370</v>
      </c>
      <c r="E189" s="532" t="s">
        <v>722</v>
      </c>
      <c r="F189" s="529"/>
      <c r="G189" s="529"/>
      <c r="H189" s="529"/>
      <c r="I189" s="529"/>
      <c r="J189" s="529"/>
      <c r="K189" s="529"/>
      <c r="L189" s="529"/>
      <c r="M189" s="529"/>
      <c r="N189" s="529"/>
      <c r="O189" s="529"/>
      <c r="P189" s="529"/>
      <c r="Q189" s="529"/>
      <c r="R189" s="529"/>
      <c r="S189" s="529"/>
      <c r="T189" s="529"/>
      <c r="U189" s="529"/>
      <c r="V189" s="529"/>
      <c r="W189" s="529"/>
      <c r="X189" s="529"/>
      <c r="Y189" s="529"/>
      <c r="Z189" s="529"/>
      <c r="AA189" s="529"/>
      <c r="AB189" s="529"/>
      <c r="AC189" s="529"/>
      <c r="AD189" s="529"/>
      <c r="AE189" s="529"/>
      <c r="AF189" s="529"/>
      <c r="AG189" s="529"/>
    </row>
    <row r="190" spans="1:33" s="533" customFormat="1" ht="39.6">
      <c r="A190" s="531" t="s">
        <v>372</v>
      </c>
      <c r="B190" s="532" t="s">
        <v>689</v>
      </c>
      <c r="C190" s="532" t="s">
        <v>723</v>
      </c>
      <c r="D190" s="532" t="s">
        <v>370</v>
      </c>
      <c r="E190" s="532" t="s">
        <v>724</v>
      </c>
      <c r="F190" s="529"/>
      <c r="G190" s="529"/>
      <c r="H190" s="529"/>
      <c r="I190" s="529"/>
      <c r="J190" s="529"/>
      <c r="K190" s="529"/>
      <c r="L190" s="529"/>
      <c r="M190" s="529"/>
      <c r="N190" s="529"/>
      <c r="O190" s="529"/>
      <c r="P190" s="529"/>
      <c r="Q190" s="529"/>
      <c r="R190" s="529"/>
      <c r="S190" s="529"/>
      <c r="T190" s="529"/>
      <c r="U190" s="529"/>
      <c r="V190" s="529"/>
      <c r="W190" s="529"/>
      <c r="X190" s="529"/>
      <c r="Y190" s="529"/>
      <c r="Z190" s="529"/>
      <c r="AA190" s="529"/>
      <c r="AB190" s="529"/>
      <c r="AC190" s="529"/>
      <c r="AD190" s="529"/>
      <c r="AE190" s="529"/>
      <c r="AF190" s="529"/>
      <c r="AG190" s="529"/>
    </row>
    <row r="191" spans="1:33" s="533" customFormat="1" ht="26.4">
      <c r="A191" s="531" t="s">
        <v>372</v>
      </c>
      <c r="B191" s="532" t="s">
        <v>689</v>
      </c>
      <c r="C191" s="532" t="s">
        <v>725</v>
      </c>
      <c r="D191" s="532" t="s">
        <v>370</v>
      </c>
      <c r="E191" s="532" t="s">
        <v>726</v>
      </c>
      <c r="F191" s="529"/>
      <c r="G191" s="529"/>
      <c r="H191" s="529"/>
      <c r="I191" s="529"/>
      <c r="J191" s="529"/>
      <c r="K191" s="529"/>
      <c r="L191" s="529"/>
      <c r="M191" s="529"/>
      <c r="N191" s="529"/>
      <c r="O191" s="529"/>
      <c r="P191" s="529"/>
      <c r="Q191" s="529"/>
      <c r="R191" s="529"/>
      <c r="S191" s="529"/>
      <c r="T191" s="529"/>
      <c r="U191" s="529"/>
      <c r="V191" s="529"/>
      <c r="W191" s="529"/>
      <c r="X191" s="529"/>
      <c r="Y191" s="529"/>
      <c r="Z191" s="529"/>
      <c r="AA191" s="529"/>
      <c r="AB191" s="529"/>
      <c r="AC191" s="529"/>
      <c r="AD191" s="529"/>
      <c r="AE191" s="529"/>
      <c r="AF191" s="529"/>
      <c r="AG191" s="529"/>
    </row>
    <row r="192" spans="1:33" s="533" customFormat="1" ht="39.6">
      <c r="A192" s="531" t="s">
        <v>372</v>
      </c>
      <c r="B192" s="532" t="s">
        <v>689</v>
      </c>
      <c r="C192" s="532" t="s">
        <v>727</v>
      </c>
      <c r="D192" s="532" t="s">
        <v>370</v>
      </c>
      <c r="E192" s="532" t="s">
        <v>728</v>
      </c>
      <c r="F192" s="529"/>
      <c r="G192" s="529"/>
      <c r="H192" s="529"/>
      <c r="I192" s="529"/>
      <c r="J192" s="529"/>
      <c r="K192" s="529"/>
      <c r="L192" s="529"/>
      <c r="M192" s="529"/>
      <c r="N192" s="529"/>
      <c r="O192" s="529"/>
      <c r="P192" s="529"/>
      <c r="Q192" s="529"/>
      <c r="R192" s="529"/>
      <c r="S192" s="529"/>
      <c r="T192" s="529"/>
      <c r="U192" s="529"/>
      <c r="V192" s="529"/>
      <c r="W192" s="529"/>
      <c r="X192" s="529"/>
      <c r="Y192" s="529"/>
      <c r="Z192" s="529"/>
      <c r="AA192" s="529"/>
      <c r="AB192" s="529"/>
      <c r="AC192" s="529"/>
      <c r="AD192" s="529"/>
      <c r="AE192" s="529"/>
      <c r="AF192" s="529"/>
      <c r="AG192" s="529"/>
    </row>
    <row r="193" spans="1:33" s="533" customFormat="1" ht="26.4">
      <c r="A193" s="531" t="s">
        <v>372</v>
      </c>
      <c r="B193" s="532" t="s">
        <v>689</v>
      </c>
      <c r="C193" s="532" t="s">
        <v>729</v>
      </c>
      <c r="D193" s="532" t="s">
        <v>370</v>
      </c>
      <c r="E193" s="532" t="s">
        <v>730</v>
      </c>
      <c r="F193" s="529"/>
      <c r="G193" s="529"/>
      <c r="H193" s="529"/>
      <c r="I193" s="529"/>
      <c r="J193" s="529"/>
      <c r="K193" s="529"/>
      <c r="L193" s="529"/>
      <c r="M193" s="529"/>
      <c r="N193" s="529"/>
      <c r="O193" s="529"/>
      <c r="P193" s="529"/>
      <c r="Q193" s="529"/>
      <c r="R193" s="529"/>
      <c r="S193" s="529"/>
      <c r="T193" s="529"/>
      <c r="U193" s="529"/>
      <c r="V193" s="529"/>
      <c r="W193" s="529"/>
      <c r="X193" s="529"/>
      <c r="Y193" s="529"/>
      <c r="Z193" s="529"/>
      <c r="AA193" s="529"/>
      <c r="AB193" s="529"/>
      <c r="AC193" s="529"/>
      <c r="AD193" s="529"/>
      <c r="AE193" s="529"/>
      <c r="AF193" s="529"/>
      <c r="AG193" s="529"/>
    </row>
    <row r="194" spans="1:33" s="533" customFormat="1" ht="39.6">
      <c r="A194" s="531" t="s">
        <v>372</v>
      </c>
      <c r="B194" s="532" t="s">
        <v>689</v>
      </c>
      <c r="C194" s="532" t="s">
        <v>731</v>
      </c>
      <c r="D194" s="532" t="s">
        <v>370</v>
      </c>
      <c r="E194" s="532" t="s">
        <v>732</v>
      </c>
      <c r="F194" s="529"/>
      <c r="G194" s="529"/>
      <c r="H194" s="529"/>
      <c r="I194" s="529"/>
      <c r="J194" s="529"/>
      <c r="K194" s="529"/>
      <c r="L194" s="529"/>
      <c r="M194" s="529"/>
      <c r="N194" s="529"/>
      <c r="O194" s="529"/>
      <c r="P194" s="529"/>
      <c r="Q194" s="529"/>
      <c r="R194" s="529"/>
      <c r="S194" s="529"/>
      <c r="T194" s="529"/>
      <c r="U194" s="529"/>
      <c r="V194" s="529"/>
      <c r="W194" s="529"/>
      <c r="X194" s="529"/>
      <c r="Y194" s="529"/>
      <c r="Z194" s="529"/>
      <c r="AA194" s="529"/>
      <c r="AB194" s="529"/>
      <c r="AC194" s="529"/>
      <c r="AD194" s="529"/>
      <c r="AE194" s="529"/>
      <c r="AF194" s="529"/>
      <c r="AG194" s="529"/>
    </row>
    <row r="195" spans="1:33" s="533" customFormat="1" ht="39.6">
      <c r="A195" s="531" t="s">
        <v>372</v>
      </c>
      <c r="B195" s="532" t="s">
        <v>689</v>
      </c>
      <c r="C195" s="532" t="s">
        <v>733</v>
      </c>
      <c r="D195" s="532" t="s">
        <v>370</v>
      </c>
      <c r="E195" s="532" t="s">
        <v>734</v>
      </c>
      <c r="F195" s="529"/>
      <c r="G195" s="529"/>
      <c r="H195" s="529"/>
      <c r="I195" s="529"/>
      <c r="J195" s="529"/>
      <c r="K195" s="529"/>
      <c r="L195" s="529"/>
      <c r="M195" s="529"/>
      <c r="N195" s="529"/>
      <c r="O195" s="529"/>
      <c r="P195" s="529"/>
      <c r="Q195" s="529"/>
      <c r="R195" s="529"/>
      <c r="S195" s="529"/>
      <c r="T195" s="529"/>
      <c r="U195" s="529"/>
      <c r="V195" s="529"/>
      <c r="W195" s="529"/>
      <c r="X195" s="529"/>
      <c r="Y195" s="529"/>
      <c r="Z195" s="529"/>
      <c r="AA195" s="529"/>
      <c r="AB195" s="529"/>
      <c r="AC195" s="529"/>
      <c r="AD195" s="529"/>
      <c r="AE195" s="529"/>
      <c r="AF195" s="529"/>
      <c r="AG195" s="529"/>
    </row>
    <row r="196" spans="1:33" s="533" customFormat="1">
      <c r="A196" s="531" t="s">
        <v>372</v>
      </c>
      <c r="B196" s="532" t="s">
        <v>689</v>
      </c>
      <c r="C196" s="532" t="s">
        <v>735</v>
      </c>
      <c r="D196" s="532" t="s">
        <v>370</v>
      </c>
      <c r="E196" s="532" t="s">
        <v>736</v>
      </c>
      <c r="F196" s="529"/>
      <c r="G196" s="529"/>
      <c r="H196" s="529"/>
      <c r="I196" s="529"/>
      <c r="J196" s="529"/>
      <c r="K196" s="529"/>
      <c r="L196" s="529"/>
      <c r="M196" s="529"/>
      <c r="N196" s="529"/>
      <c r="O196" s="529"/>
      <c r="P196" s="529"/>
      <c r="Q196" s="529"/>
      <c r="R196" s="529"/>
      <c r="S196" s="529"/>
      <c r="T196" s="529"/>
      <c r="U196" s="529"/>
      <c r="V196" s="529"/>
      <c r="W196" s="529"/>
      <c r="X196" s="529"/>
      <c r="Y196" s="529"/>
      <c r="Z196" s="529"/>
      <c r="AA196" s="529"/>
      <c r="AB196" s="529"/>
      <c r="AC196" s="529"/>
      <c r="AD196" s="529"/>
      <c r="AE196" s="529"/>
      <c r="AF196" s="529"/>
      <c r="AG196" s="529"/>
    </row>
    <row r="197" spans="1:33" s="533" customFormat="1" ht="39.6">
      <c r="A197" s="531" t="s">
        <v>372</v>
      </c>
      <c r="B197" s="532" t="s">
        <v>689</v>
      </c>
      <c r="C197" s="532" t="s">
        <v>737</v>
      </c>
      <c r="D197" s="532" t="s">
        <v>370</v>
      </c>
      <c r="E197" s="532" t="s">
        <v>738</v>
      </c>
      <c r="F197" s="529"/>
      <c r="G197" s="529"/>
      <c r="H197" s="529"/>
      <c r="I197" s="529"/>
      <c r="J197" s="529"/>
      <c r="K197" s="529"/>
      <c r="L197" s="529"/>
      <c r="M197" s="529"/>
      <c r="N197" s="529"/>
      <c r="O197" s="529"/>
      <c r="P197" s="529"/>
      <c r="Q197" s="529"/>
      <c r="R197" s="529"/>
      <c r="S197" s="529"/>
      <c r="T197" s="529"/>
      <c r="U197" s="529"/>
      <c r="V197" s="529"/>
      <c r="W197" s="529"/>
      <c r="X197" s="529"/>
      <c r="Y197" s="529"/>
      <c r="Z197" s="529"/>
      <c r="AA197" s="529"/>
      <c r="AB197" s="529"/>
      <c r="AC197" s="529"/>
      <c r="AD197" s="529"/>
      <c r="AE197" s="529"/>
      <c r="AF197" s="529"/>
      <c r="AG197" s="529"/>
    </row>
    <row r="198" spans="1:33" s="533" customFormat="1">
      <c r="A198" s="531" t="s">
        <v>372</v>
      </c>
      <c r="B198" s="532" t="s">
        <v>689</v>
      </c>
      <c r="C198" s="532" t="s">
        <v>739</v>
      </c>
      <c r="D198" s="532" t="s">
        <v>370</v>
      </c>
      <c r="E198" s="532" t="s">
        <v>740</v>
      </c>
      <c r="F198" s="529"/>
      <c r="G198" s="529"/>
      <c r="H198" s="529"/>
      <c r="I198" s="529"/>
      <c r="J198" s="529"/>
      <c r="K198" s="529"/>
      <c r="L198" s="529"/>
      <c r="M198" s="529"/>
      <c r="N198" s="529"/>
      <c r="O198" s="529"/>
      <c r="P198" s="529"/>
      <c r="Q198" s="529"/>
      <c r="R198" s="529"/>
      <c r="S198" s="529"/>
      <c r="T198" s="529"/>
      <c r="U198" s="529"/>
      <c r="V198" s="529"/>
      <c r="W198" s="529"/>
      <c r="X198" s="529"/>
      <c r="Y198" s="529"/>
      <c r="Z198" s="529"/>
      <c r="AA198" s="529"/>
      <c r="AB198" s="529"/>
      <c r="AC198" s="529"/>
      <c r="AD198" s="529"/>
      <c r="AE198" s="529"/>
      <c r="AF198" s="529"/>
      <c r="AG198" s="529"/>
    </row>
    <row r="199" spans="1:33" s="533" customFormat="1" ht="39.6">
      <c r="A199" s="531" t="s">
        <v>372</v>
      </c>
      <c r="B199" s="532" t="s">
        <v>689</v>
      </c>
      <c r="C199" s="532" t="s">
        <v>741</v>
      </c>
      <c r="D199" s="532" t="s">
        <v>370</v>
      </c>
      <c r="E199" s="532" t="s">
        <v>742</v>
      </c>
      <c r="F199" s="529"/>
      <c r="G199" s="529"/>
      <c r="H199" s="529"/>
      <c r="I199" s="529"/>
      <c r="J199" s="529"/>
      <c r="K199" s="529"/>
      <c r="L199" s="529"/>
      <c r="M199" s="529"/>
      <c r="N199" s="529"/>
      <c r="O199" s="529"/>
      <c r="P199" s="529"/>
      <c r="Q199" s="529"/>
      <c r="R199" s="529"/>
      <c r="S199" s="529"/>
      <c r="T199" s="529"/>
      <c r="U199" s="529"/>
      <c r="V199" s="529"/>
      <c r="W199" s="529"/>
      <c r="X199" s="529"/>
      <c r="Y199" s="529"/>
      <c r="Z199" s="529"/>
      <c r="AA199" s="529"/>
      <c r="AB199" s="529"/>
      <c r="AC199" s="529"/>
      <c r="AD199" s="529"/>
      <c r="AE199" s="529"/>
      <c r="AF199" s="529"/>
      <c r="AG199" s="529"/>
    </row>
    <row r="200" spans="1:33" s="533" customFormat="1" ht="52.8">
      <c r="A200" s="531" t="s">
        <v>372</v>
      </c>
      <c r="B200" s="532" t="s">
        <v>689</v>
      </c>
      <c r="C200" s="532" t="s">
        <v>743</v>
      </c>
      <c r="D200" s="532" t="s">
        <v>370</v>
      </c>
      <c r="E200" s="532" t="s">
        <v>744</v>
      </c>
      <c r="F200" s="529"/>
      <c r="G200" s="529"/>
      <c r="H200" s="529"/>
      <c r="I200" s="529"/>
      <c r="J200" s="529"/>
      <c r="K200" s="529"/>
      <c r="L200" s="529"/>
      <c r="M200" s="529"/>
      <c r="N200" s="529"/>
      <c r="O200" s="529"/>
      <c r="P200" s="529"/>
      <c r="Q200" s="529"/>
      <c r="R200" s="529"/>
      <c r="S200" s="529"/>
      <c r="T200" s="529"/>
      <c r="U200" s="529"/>
      <c r="V200" s="529"/>
      <c r="W200" s="529"/>
      <c r="X200" s="529"/>
      <c r="Y200" s="529"/>
      <c r="Z200" s="529"/>
      <c r="AA200" s="529"/>
      <c r="AB200" s="529"/>
      <c r="AC200" s="529"/>
      <c r="AD200" s="529"/>
      <c r="AE200" s="529"/>
      <c r="AF200" s="529"/>
      <c r="AG200" s="529"/>
    </row>
    <row r="201" spans="1:33" s="533" customFormat="1" ht="26.4">
      <c r="A201" s="531" t="s">
        <v>372</v>
      </c>
      <c r="B201" s="532" t="s">
        <v>689</v>
      </c>
      <c r="C201" s="532" t="s">
        <v>745</v>
      </c>
      <c r="D201" s="532" t="s">
        <v>370</v>
      </c>
      <c r="E201" s="532" t="s">
        <v>746</v>
      </c>
      <c r="F201" s="529"/>
      <c r="G201" s="529"/>
      <c r="H201" s="529"/>
      <c r="I201" s="529"/>
      <c r="J201" s="529"/>
      <c r="K201" s="529"/>
      <c r="L201" s="529"/>
      <c r="M201" s="529"/>
      <c r="N201" s="529"/>
      <c r="O201" s="529"/>
      <c r="P201" s="529"/>
      <c r="Q201" s="529"/>
      <c r="R201" s="529"/>
      <c r="S201" s="529"/>
      <c r="T201" s="529"/>
      <c r="U201" s="529"/>
      <c r="V201" s="529"/>
      <c r="W201" s="529"/>
      <c r="X201" s="529"/>
      <c r="Y201" s="529"/>
      <c r="Z201" s="529"/>
      <c r="AA201" s="529"/>
      <c r="AB201" s="529"/>
      <c r="AC201" s="529"/>
      <c r="AD201" s="529"/>
      <c r="AE201" s="529"/>
      <c r="AF201" s="529"/>
      <c r="AG201" s="529"/>
    </row>
    <row r="202" spans="1:33" s="533" customFormat="1" ht="39.6">
      <c r="A202" s="531" t="s">
        <v>372</v>
      </c>
      <c r="B202" s="532" t="s">
        <v>689</v>
      </c>
      <c r="C202" s="532" t="s">
        <v>747</v>
      </c>
      <c r="D202" s="532" t="s">
        <v>370</v>
      </c>
      <c r="E202" s="532" t="s">
        <v>748</v>
      </c>
      <c r="F202" s="529"/>
      <c r="G202" s="529"/>
      <c r="H202" s="529"/>
      <c r="I202" s="529"/>
      <c r="J202" s="529"/>
      <c r="K202" s="529"/>
      <c r="L202" s="529"/>
      <c r="M202" s="529"/>
      <c r="N202" s="529"/>
      <c r="O202" s="529"/>
      <c r="P202" s="529"/>
      <c r="Q202" s="529"/>
      <c r="R202" s="529"/>
      <c r="S202" s="529"/>
      <c r="T202" s="529"/>
      <c r="U202" s="529"/>
      <c r="V202" s="529"/>
      <c r="W202" s="529"/>
      <c r="X202" s="529"/>
      <c r="Y202" s="529"/>
      <c r="Z202" s="529"/>
      <c r="AA202" s="529"/>
      <c r="AB202" s="529"/>
      <c r="AC202" s="529"/>
      <c r="AD202" s="529"/>
      <c r="AE202" s="529"/>
      <c r="AF202" s="529"/>
      <c r="AG202" s="529"/>
    </row>
    <row r="203" spans="1:33" s="533" customFormat="1" ht="26.4">
      <c r="A203" s="531" t="s">
        <v>372</v>
      </c>
      <c r="B203" s="532" t="s">
        <v>689</v>
      </c>
      <c r="C203" s="532" t="s">
        <v>749</v>
      </c>
      <c r="D203" s="532" t="s">
        <v>370</v>
      </c>
      <c r="E203" s="532" t="s">
        <v>750</v>
      </c>
      <c r="F203" s="529"/>
      <c r="G203" s="529"/>
      <c r="H203" s="529"/>
      <c r="I203" s="529"/>
      <c r="J203" s="529"/>
      <c r="K203" s="529"/>
      <c r="L203" s="529"/>
      <c r="M203" s="529"/>
      <c r="N203" s="529"/>
      <c r="O203" s="529"/>
      <c r="P203" s="529"/>
      <c r="Q203" s="529"/>
      <c r="R203" s="529"/>
      <c r="S203" s="529"/>
      <c r="T203" s="529"/>
      <c r="U203" s="529"/>
      <c r="V203" s="529"/>
      <c r="W203" s="529"/>
      <c r="X203" s="529"/>
      <c r="Y203" s="529"/>
      <c r="Z203" s="529"/>
      <c r="AA203" s="529"/>
      <c r="AB203" s="529"/>
      <c r="AC203" s="529"/>
      <c r="AD203" s="529"/>
      <c r="AE203" s="529"/>
      <c r="AF203" s="529"/>
      <c r="AG203" s="529"/>
    </row>
    <row r="204" spans="1:33" s="533" customFormat="1" ht="39.6">
      <c r="A204" s="531" t="s">
        <v>372</v>
      </c>
      <c r="B204" s="532" t="s">
        <v>689</v>
      </c>
      <c r="C204" s="532" t="s">
        <v>751</v>
      </c>
      <c r="D204" s="532" t="s">
        <v>370</v>
      </c>
      <c r="E204" s="532" t="s">
        <v>752</v>
      </c>
      <c r="F204" s="529"/>
      <c r="G204" s="529"/>
      <c r="H204" s="529"/>
      <c r="I204" s="529"/>
      <c r="J204" s="529"/>
      <c r="K204" s="529"/>
      <c r="L204" s="529"/>
      <c r="M204" s="529"/>
      <c r="N204" s="529"/>
      <c r="O204" s="529"/>
      <c r="P204" s="529"/>
      <c r="Q204" s="529"/>
      <c r="R204" s="529"/>
      <c r="S204" s="529"/>
      <c r="T204" s="529"/>
      <c r="U204" s="529"/>
      <c r="V204" s="529"/>
      <c r="W204" s="529"/>
      <c r="X204" s="529"/>
      <c r="Y204" s="529"/>
      <c r="Z204" s="529"/>
      <c r="AA204" s="529"/>
      <c r="AB204" s="529"/>
      <c r="AC204" s="529"/>
      <c r="AD204" s="529"/>
      <c r="AE204" s="529"/>
      <c r="AF204" s="529"/>
      <c r="AG204" s="529"/>
    </row>
    <row r="205" spans="1:33" s="533" customFormat="1" ht="39.6">
      <c r="A205" s="531" t="s">
        <v>372</v>
      </c>
      <c r="B205" s="532" t="s">
        <v>689</v>
      </c>
      <c r="C205" s="532" t="s">
        <v>753</v>
      </c>
      <c r="D205" s="532" t="s">
        <v>370</v>
      </c>
      <c r="E205" s="532" t="s">
        <v>754</v>
      </c>
      <c r="F205" s="529"/>
      <c r="G205" s="529"/>
      <c r="H205" s="529"/>
      <c r="I205" s="529"/>
      <c r="J205" s="529"/>
      <c r="K205" s="529"/>
      <c r="L205" s="529"/>
      <c r="M205" s="529"/>
      <c r="N205" s="529"/>
      <c r="O205" s="529"/>
      <c r="P205" s="529"/>
      <c r="Q205" s="529"/>
      <c r="R205" s="529"/>
      <c r="S205" s="529"/>
      <c r="T205" s="529"/>
      <c r="U205" s="529"/>
      <c r="V205" s="529"/>
      <c r="W205" s="529"/>
      <c r="X205" s="529"/>
      <c r="Y205" s="529"/>
      <c r="Z205" s="529"/>
      <c r="AA205" s="529"/>
      <c r="AB205" s="529"/>
      <c r="AC205" s="529"/>
      <c r="AD205" s="529"/>
      <c r="AE205" s="529"/>
      <c r="AF205" s="529"/>
      <c r="AG205" s="529"/>
    </row>
    <row r="206" spans="1:33" s="533" customFormat="1" ht="26.4">
      <c r="A206" s="531" t="s">
        <v>372</v>
      </c>
      <c r="B206" s="532" t="s">
        <v>689</v>
      </c>
      <c r="C206" s="532" t="s">
        <v>755</v>
      </c>
      <c r="D206" s="532" t="s">
        <v>370</v>
      </c>
      <c r="E206" s="532" t="s">
        <v>756</v>
      </c>
      <c r="F206" s="529"/>
      <c r="G206" s="529"/>
      <c r="H206" s="529"/>
      <c r="I206" s="529"/>
      <c r="J206" s="529"/>
      <c r="K206" s="529"/>
      <c r="L206" s="529"/>
      <c r="M206" s="529"/>
      <c r="N206" s="529"/>
      <c r="O206" s="529"/>
      <c r="P206" s="529"/>
      <c r="Q206" s="529"/>
      <c r="R206" s="529"/>
      <c r="S206" s="529"/>
      <c r="T206" s="529"/>
      <c r="U206" s="529"/>
      <c r="V206" s="529"/>
      <c r="W206" s="529"/>
      <c r="X206" s="529"/>
      <c r="Y206" s="529"/>
      <c r="Z206" s="529"/>
      <c r="AA206" s="529"/>
      <c r="AB206" s="529"/>
      <c r="AC206" s="529"/>
      <c r="AD206" s="529"/>
      <c r="AE206" s="529"/>
      <c r="AF206" s="529"/>
      <c r="AG206" s="529"/>
    </row>
    <row r="207" spans="1:33" s="533" customFormat="1" ht="52.8">
      <c r="A207" s="531" t="s">
        <v>372</v>
      </c>
      <c r="B207" s="532" t="s">
        <v>689</v>
      </c>
      <c r="C207" s="532" t="s">
        <v>757</v>
      </c>
      <c r="D207" s="532" t="s">
        <v>370</v>
      </c>
      <c r="E207" s="532" t="s">
        <v>758</v>
      </c>
      <c r="F207" s="529"/>
      <c r="G207" s="529"/>
      <c r="H207" s="529"/>
      <c r="I207" s="529"/>
      <c r="J207" s="529"/>
      <c r="K207" s="529"/>
      <c r="L207" s="529"/>
      <c r="M207" s="529"/>
      <c r="N207" s="529"/>
      <c r="O207" s="529"/>
      <c r="P207" s="529"/>
      <c r="Q207" s="529"/>
      <c r="R207" s="529"/>
      <c r="S207" s="529"/>
      <c r="T207" s="529"/>
      <c r="U207" s="529"/>
      <c r="V207" s="529"/>
      <c r="W207" s="529"/>
      <c r="X207" s="529"/>
      <c r="Y207" s="529"/>
      <c r="Z207" s="529"/>
      <c r="AA207" s="529"/>
      <c r="AB207" s="529"/>
      <c r="AC207" s="529"/>
      <c r="AD207" s="529"/>
      <c r="AE207" s="529"/>
      <c r="AF207" s="529"/>
      <c r="AG207" s="529"/>
    </row>
    <row r="208" spans="1:33" s="533" customFormat="1" ht="66">
      <c r="A208" s="527" t="s">
        <v>365</v>
      </c>
      <c r="B208" s="514" t="s">
        <v>759</v>
      </c>
      <c r="C208" s="514" t="s">
        <v>759</v>
      </c>
      <c r="D208" s="514" t="s">
        <v>760</v>
      </c>
      <c r="E208" s="528" t="s">
        <v>761</v>
      </c>
      <c r="F208" s="529"/>
      <c r="G208" s="529"/>
      <c r="H208" s="529"/>
      <c r="I208" s="529"/>
      <c r="J208" s="529"/>
      <c r="K208" s="529"/>
      <c r="L208" s="529"/>
      <c r="M208" s="529"/>
      <c r="N208" s="529"/>
      <c r="O208" s="529"/>
      <c r="P208" s="529"/>
      <c r="Q208" s="529"/>
      <c r="R208" s="529"/>
      <c r="S208" s="529"/>
      <c r="T208" s="529"/>
      <c r="U208" s="529"/>
      <c r="V208" s="529"/>
      <c r="W208" s="529"/>
      <c r="X208" s="529"/>
      <c r="Y208" s="529"/>
      <c r="Z208" s="529"/>
      <c r="AA208" s="529"/>
      <c r="AB208" s="529"/>
      <c r="AC208" s="529"/>
      <c r="AD208" s="529"/>
      <c r="AE208" s="529"/>
      <c r="AF208" s="529"/>
      <c r="AG208" s="529"/>
    </row>
    <row r="209" spans="1:33" s="533" customFormat="1" ht="26.4">
      <c r="A209" s="531" t="s">
        <v>372</v>
      </c>
      <c r="B209" s="532" t="s">
        <v>759</v>
      </c>
      <c r="C209" s="532" t="s">
        <v>762</v>
      </c>
      <c r="D209" s="532" t="s">
        <v>760</v>
      </c>
      <c r="E209" s="532" t="s">
        <v>763</v>
      </c>
      <c r="F209" s="529"/>
      <c r="G209" s="529"/>
      <c r="H209" s="529"/>
      <c r="I209" s="529"/>
      <c r="J209" s="529"/>
      <c r="K209" s="529"/>
      <c r="L209" s="529"/>
      <c r="M209" s="529"/>
      <c r="N209" s="529"/>
      <c r="O209" s="529"/>
      <c r="P209" s="529"/>
      <c r="Q209" s="529"/>
      <c r="R209" s="529"/>
      <c r="S209" s="529"/>
      <c r="T209" s="529"/>
      <c r="U209" s="529"/>
      <c r="V209" s="529"/>
      <c r="W209" s="529"/>
      <c r="X209" s="529"/>
      <c r="Y209" s="529"/>
      <c r="Z209" s="529"/>
      <c r="AA209" s="529"/>
      <c r="AB209" s="529"/>
      <c r="AC209" s="529"/>
      <c r="AD209" s="529"/>
      <c r="AE209" s="529"/>
      <c r="AF209" s="529"/>
      <c r="AG209" s="529"/>
    </row>
    <row r="210" spans="1:33" ht="26.4">
      <c r="A210" s="531" t="s">
        <v>372</v>
      </c>
      <c r="B210" s="532" t="s">
        <v>759</v>
      </c>
      <c r="C210" s="532" t="s">
        <v>764</v>
      </c>
      <c r="D210" s="532" t="s">
        <v>760</v>
      </c>
      <c r="E210" s="532" t="s">
        <v>765</v>
      </c>
    </row>
    <row r="211" spans="1:33">
      <c r="A211" s="531" t="s">
        <v>372</v>
      </c>
      <c r="B211" s="532" t="s">
        <v>759</v>
      </c>
      <c r="C211" s="532" t="s">
        <v>766</v>
      </c>
      <c r="D211" s="532" t="s">
        <v>760</v>
      </c>
      <c r="E211" s="532" t="s">
        <v>767</v>
      </c>
    </row>
    <row r="212" spans="1:33" ht="26.4">
      <c r="A212" s="531" t="s">
        <v>372</v>
      </c>
      <c r="B212" s="532" t="s">
        <v>759</v>
      </c>
      <c r="C212" s="532" t="s">
        <v>768</v>
      </c>
      <c r="D212" s="532" t="s">
        <v>760</v>
      </c>
      <c r="E212" s="532" t="s">
        <v>769</v>
      </c>
    </row>
    <row r="213" spans="1:33" ht="52.8">
      <c r="A213" s="527" t="s">
        <v>365</v>
      </c>
      <c r="B213" s="514" t="s">
        <v>770</v>
      </c>
      <c r="C213" s="514" t="s">
        <v>771</v>
      </c>
      <c r="D213" s="514" t="s">
        <v>400</v>
      </c>
      <c r="E213" s="528" t="s">
        <v>772</v>
      </c>
    </row>
    <row r="214" spans="1:33" ht="52.8">
      <c r="A214" s="531" t="s">
        <v>372</v>
      </c>
      <c r="B214" s="532" t="s">
        <v>770</v>
      </c>
      <c r="C214" s="532" t="s">
        <v>773</v>
      </c>
      <c r="D214" s="532" t="s">
        <v>400</v>
      </c>
      <c r="E214" s="536" t="s">
        <v>772</v>
      </c>
    </row>
    <row r="215" spans="1:33" ht="66">
      <c r="A215" s="531" t="s">
        <v>372</v>
      </c>
      <c r="B215" s="532" t="s">
        <v>770</v>
      </c>
      <c r="C215" s="532" t="s">
        <v>774</v>
      </c>
      <c r="D215" s="532" t="s">
        <v>400</v>
      </c>
      <c r="E215" s="536" t="s">
        <v>775</v>
      </c>
    </row>
    <row r="216" spans="1:33">
      <c r="A216" s="527" t="s">
        <v>365</v>
      </c>
      <c r="B216" s="514" t="s">
        <v>776</v>
      </c>
      <c r="C216" s="514" t="s">
        <v>776</v>
      </c>
      <c r="D216" s="514" t="s">
        <v>760</v>
      </c>
      <c r="E216" s="514" t="s">
        <v>777</v>
      </c>
    </row>
    <row r="217" spans="1:33" ht="26.4">
      <c r="A217" s="531" t="s">
        <v>372</v>
      </c>
      <c r="B217" s="532" t="s">
        <v>776</v>
      </c>
      <c r="C217" s="532" t="s">
        <v>778</v>
      </c>
      <c r="D217" s="532" t="s">
        <v>760</v>
      </c>
      <c r="E217" s="532" t="s">
        <v>779</v>
      </c>
    </row>
    <row r="218" spans="1:33" ht="145.19999999999999">
      <c r="A218" s="527" t="s">
        <v>365</v>
      </c>
      <c r="B218" s="514" t="s">
        <v>780</v>
      </c>
      <c r="C218" s="514" t="s">
        <v>780</v>
      </c>
      <c r="D218" s="514" t="s">
        <v>760</v>
      </c>
      <c r="E218" s="528" t="s">
        <v>781</v>
      </c>
    </row>
    <row r="219" spans="1:33" ht="66">
      <c r="A219" s="527" t="s">
        <v>365</v>
      </c>
      <c r="B219" s="514" t="s">
        <v>782</v>
      </c>
      <c r="C219" s="514" t="s">
        <v>782</v>
      </c>
      <c r="D219" s="514" t="s">
        <v>760</v>
      </c>
      <c r="E219" s="513" t="s">
        <v>783</v>
      </c>
    </row>
    <row r="220" spans="1:33" ht="39.6">
      <c r="A220" s="531" t="s">
        <v>372</v>
      </c>
      <c r="B220" s="532" t="s">
        <v>782</v>
      </c>
      <c r="C220" s="532" t="s">
        <v>784</v>
      </c>
      <c r="D220" s="532" t="s">
        <v>760</v>
      </c>
      <c r="E220" s="544" t="s">
        <v>785</v>
      </c>
    </row>
    <row r="221" spans="1:33" ht="79.2">
      <c r="A221" s="527" t="s">
        <v>365</v>
      </c>
      <c r="B221" s="514" t="s">
        <v>786</v>
      </c>
      <c r="C221" s="514" t="s">
        <v>786</v>
      </c>
      <c r="D221" s="514" t="s">
        <v>519</v>
      </c>
      <c r="E221" s="528" t="s">
        <v>787</v>
      </c>
    </row>
    <row r="222" spans="1:33">
      <c r="A222" s="531" t="s">
        <v>372</v>
      </c>
      <c r="B222" s="532" t="s">
        <v>786</v>
      </c>
      <c r="C222" s="532" t="s">
        <v>788</v>
      </c>
      <c r="D222" s="532" t="s">
        <v>519</v>
      </c>
      <c r="E222" s="544" t="s">
        <v>789</v>
      </c>
    </row>
    <row r="223" spans="1:33">
      <c r="A223" s="531" t="s">
        <v>372</v>
      </c>
      <c r="B223" s="532" t="s">
        <v>786</v>
      </c>
      <c r="C223" s="532" t="s">
        <v>790</v>
      </c>
      <c r="D223" s="532" t="s">
        <v>519</v>
      </c>
      <c r="E223" s="544" t="s">
        <v>791</v>
      </c>
    </row>
    <row r="224" spans="1:33" s="527" customFormat="1" ht="26.4">
      <c r="A224" s="531" t="s">
        <v>372</v>
      </c>
      <c r="B224" s="532" t="s">
        <v>786</v>
      </c>
      <c r="C224" s="532" t="s">
        <v>792</v>
      </c>
      <c r="D224" s="532" t="s">
        <v>519</v>
      </c>
      <c r="E224" s="544" t="s">
        <v>793</v>
      </c>
      <c r="F224" s="540"/>
      <c r="G224" s="540"/>
      <c r="H224" s="540"/>
      <c r="I224" s="540"/>
      <c r="J224" s="540"/>
      <c r="K224" s="540"/>
      <c r="L224" s="540"/>
      <c r="M224" s="540"/>
      <c r="N224" s="540"/>
      <c r="O224" s="540"/>
      <c r="P224" s="540"/>
      <c r="Q224" s="540"/>
      <c r="R224" s="540"/>
      <c r="S224" s="540"/>
      <c r="T224" s="540"/>
      <c r="U224" s="540"/>
      <c r="V224" s="540"/>
      <c r="W224" s="540"/>
      <c r="X224" s="540"/>
      <c r="Y224" s="540"/>
      <c r="Z224" s="540"/>
      <c r="AA224" s="540"/>
      <c r="AB224" s="540"/>
      <c r="AC224" s="540"/>
      <c r="AD224" s="540"/>
      <c r="AE224" s="540"/>
      <c r="AF224" s="540"/>
      <c r="AG224" s="540"/>
    </row>
    <row r="225" spans="1:33" s="527" customFormat="1" ht="26.4">
      <c r="A225" s="531" t="s">
        <v>372</v>
      </c>
      <c r="B225" s="532" t="s">
        <v>786</v>
      </c>
      <c r="C225" s="532" t="s">
        <v>794</v>
      </c>
      <c r="D225" s="532" t="s">
        <v>519</v>
      </c>
      <c r="E225" s="544" t="s">
        <v>795</v>
      </c>
      <c r="F225" s="540"/>
      <c r="G225" s="540"/>
      <c r="H225" s="540"/>
      <c r="I225" s="540"/>
      <c r="J225" s="540"/>
      <c r="K225" s="540"/>
      <c r="L225" s="540"/>
      <c r="M225" s="540"/>
      <c r="N225" s="540"/>
      <c r="O225" s="540"/>
      <c r="P225" s="540"/>
      <c r="Q225" s="540"/>
      <c r="R225" s="540"/>
      <c r="S225" s="540"/>
      <c r="T225" s="540"/>
      <c r="U225" s="540"/>
      <c r="V225" s="540"/>
      <c r="W225" s="540"/>
      <c r="X225" s="540"/>
      <c r="Y225" s="540"/>
      <c r="Z225" s="540"/>
      <c r="AA225" s="540"/>
      <c r="AB225" s="540"/>
      <c r="AC225" s="540"/>
      <c r="AD225" s="540"/>
      <c r="AE225" s="540"/>
      <c r="AF225" s="540"/>
      <c r="AG225" s="540"/>
    </row>
    <row r="226" spans="1:33" s="527" customFormat="1">
      <c r="A226" s="531" t="s">
        <v>372</v>
      </c>
      <c r="B226" s="532" t="s">
        <v>786</v>
      </c>
      <c r="C226" s="532" t="s">
        <v>796</v>
      </c>
      <c r="D226" s="532" t="s">
        <v>519</v>
      </c>
      <c r="E226" s="544" t="s">
        <v>797</v>
      </c>
      <c r="F226" s="540"/>
      <c r="G226" s="540"/>
      <c r="H226" s="540"/>
      <c r="I226" s="540"/>
      <c r="J226" s="540"/>
      <c r="K226" s="540"/>
      <c r="L226" s="540"/>
      <c r="M226" s="540"/>
      <c r="N226" s="540"/>
      <c r="O226" s="540"/>
      <c r="P226" s="540"/>
      <c r="Q226" s="540"/>
      <c r="R226" s="540"/>
      <c r="S226" s="540"/>
      <c r="T226" s="540"/>
      <c r="U226" s="540"/>
      <c r="V226" s="540"/>
      <c r="W226" s="540"/>
      <c r="X226" s="540"/>
      <c r="Y226" s="540"/>
      <c r="Z226" s="540"/>
      <c r="AA226" s="540"/>
      <c r="AB226" s="540"/>
      <c r="AC226" s="540"/>
      <c r="AD226" s="540"/>
      <c r="AE226" s="540"/>
      <c r="AF226" s="540"/>
      <c r="AG226" s="540"/>
    </row>
    <row r="227" spans="1:33" s="527" customFormat="1">
      <c r="A227" s="531" t="s">
        <v>372</v>
      </c>
      <c r="B227" s="532" t="s">
        <v>786</v>
      </c>
      <c r="C227" s="532" t="s">
        <v>798</v>
      </c>
      <c r="D227" s="532" t="s">
        <v>519</v>
      </c>
      <c r="E227" s="544" t="s">
        <v>799</v>
      </c>
      <c r="F227" s="540"/>
      <c r="G227" s="540"/>
      <c r="H227" s="540"/>
      <c r="I227" s="540"/>
      <c r="J227" s="540"/>
      <c r="K227" s="540"/>
      <c r="L227" s="540"/>
      <c r="M227" s="540"/>
      <c r="N227" s="540"/>
      <c r="O227" s="540"/>
      <c r="P227" s="540"/>
      <c r="Q227" s="540"/>
      <c r="R227" s="540"/>
      <c r="S227" s="540"/>
      <c r="T227" s="540"/>
      <c r="U227" s="540"/>
      <c r="V227" s="540"/>
      <c r="W227" s="540"/>
      <c r="X227" s="540"/>
      <c r="Y227" s="540"/>
      <c r="Z227" s="540"/>
      <c r="AA227" s="540"/>
      <c r="AB227" s="540"/>
      <c r="AC227" s="540"/>
      <c r="AD227" s="540"/>
      <c r="AE227" s="540"/>
      <c r="AF227" s="540"/>
      <c r="AG227" s="540"/>
    </row>
    <row r="228" spans="1:33" s="527" customFormat="1">
      <c r="A228" s="531" t="s">
        <v>372</v>
      </c>
      <c r="B228" s="532" t="s">
        <v>786</v>
      </c>
      <c r="C228" s="532" t="s">
        <v>800</v>
      </c>
      <c r="D228" s="532" t="s">
        <v>519</v>
      </c>
      <c r="E228" s="544" t="s">
        <v>801</v>
      </c>
      <c r="F228" s="540"/>
      <c r="G228" s="540"/>
      <c r="H228" s="540"/>
      <c r="I228" s="540"/>
      <c r="J228" s="540"/>
      <c r="K228" s="540"/>
      <c r="L228" s="540"/>
      <c r="M228" s="540"/>
      <c r="N228" s="540"/>
      <c r="O228" s="540"/>
      <c r="P228" s="540"/>
      <c r="Q228" s="540"/>
      <c r="R228" s="540"/>
      <c r="S228" s="540"/>
      <c r="T228" s="540"/>
      <c r="U228" s="540"/>
      <c r="V228" s="540"/>
      <c r="W228" s="540"/>
      <c r="X228" s="540"/>
      <c r="Y228" s="540"/>
      <c r="Z228" s="540"/>
      <c r="AA228" s="540"/>
      <c r="AB228" s="540"/>
      <c r="AC228" s="540"/>
      <c r="AD228" s="540"/>
      <c r="AE228" s="540"/>
      <c r="AF228" s="540"/>
      <c r="AG228" s="540"/>
    </row>
    <row r="229" spans="1:33" s="527" customFormat="1">
      <c r="A229" s="531" t="s">
        <v>372</v>
      </c>
      <c r="B229" s="532" t="s">
        <v>786</v>
      </c>
      <c r="C229" s="532" t="s">
        <v>802</v>
      </c>
      <c r="D229" s="532" t="s">
        <v>519</v>
      </c>
      <c r="E229" s="544" t="s">
        <v>803</v>
      </c>
      <c r="F229" s="540"/>
      <c r="G229" s="540"/>
      <c r="H229" s="540"/>
      <c r="I229" s="540"/>
      <c r="J229" s="540"/>
      <c r="K229" s="540"/>
      <c r="L229" s="540"/>
      <c r="M229" s="540"/>
      <c r="N229" s="540"/>
      <c r="O229" s="540"/>
      <c r="P229" s="540"/>
      <c r="Q229" s="540"/>
      <c r="R229" s="540"/>
      <c r="S229" s="540"/>
      <c r="T229" s="540"/>
      <c r="U229" s="540"/>
      <c r="V229" s="540"/>
      <c r="W229" s="540"/>
      <c r="X229" s="540"/>
      <c r="Y229" s="540"/>
      <c r="Z229" s="540"/>
      <c r="AA229" s="540"/>
      <c r="AB229" s="540"/>
      <c r="AC229" s="540"/>
      <c r="AD229" s="540"/>
      <c r="AE229" s="540"/>
      <c r="AF229" s="540"/>
      <c r="AG229" s="540"/>
    </row>
    <row r="230" spans="1:33" s="527" customFormat="1">
      <c r="A230" s="531" t="s">
        <v>372</v>
      </c>
      <c r="B230" s="532" t="s">
        <v>786</v>
      </c>
      <c r="C230" s="532" t="s">
        <v>804</v>
      </c>
      <c r="D230" s="532" t="s">
        <v>519</v>
      </c>
      <c r="E230" s="544" t="s">
        <v>805</v>
      </c>
      <c r="F230" s="540"/>
      <c r="G230" s="540"/>
      <c r="H230" s="540"/>
      <c r="I230" s="540"/>
      <c r="J230" s="540"/>
      <c r="K230" s="540"/>
      <c r="L230" s="540"/>
      <c r="M230" s="540"/>
      <c r="N230" s="540"/>
      <c r="O230" s="540"/>
      <c r="P230" s="540"/>
      <c r="Q230" s="540"/>
      <c r="R230" s="540"/>
      <c r="S230" s="540"/>
      <c r="T230" s="540"/>
      <c r="U230" s="540"/>
      <c r="V230" s="540"/>
      <c r="W230" s="540"/>
      <c r="X230" s="540"/>
      <c r="Y230" s="540"/>
      <c r="Z230" s="540"/>
      <c r="AA230" s="540"/>
      <c r="AB230" s="540"/>
      <c r="AC230" s="540"/>
      <c r="AD230" s="540"/>
      <c r="AE230" s="540"/>
      <c r="AF230" s="540"/>
      <c r="AG230" s="540"/>
    </row>
    <row r="231" spans="1:33" s="527" customFormat="1">
      <c r="A231" s="531" t="s">
        <v>372</v>
      </c>
      <c r="B231" s="532" t="s">
        <v>786</v>
      </c>
      <c r="C231" s="532" t="s">
        <v>806</v>
      </c>
      <c r="D231" s="532" t="s">
        <v>519</v>
      </c>
      <c r="E231" s="544" t="s">
        <v>807</v>
      </c>
      <c r="F231" s="540"/>
      <c r="G231" s="540"/>
      <c r="H231" s="540"/>
      <c r="I231" s="540"/>
      <c r="J231" s="540"/>
      <c r="K231" s="540"/>
      <c r="L231" s="540"/>
      <c r="M231" s="540"/>
      <c r="N231" s="540"/>
      <c r="O231" s="540"/>
      <c r="P231" s="540"/>
      <c r="Q231" s="540"/>
      <c r="R231" s="540"/>
      <c r="S231" s="540"/>
      <c r="T231" s="540"/>
      <c r="U231" s="540"/>
      <c r="V231" s="540"/>
      <c r="W231" s="540"/>
      <c r="X231" s="540"/>
      <c r="Y231" s="540"/>
      <c r="Z231" s="540"/>
      <c r="AA231" s="540"/>
      <c r="AB231" s="540"/>
      <c r="AC231" s="540"/>
      <c r="AD231" s="540"/>
      <c r="AE231" s="540"/>
      <c r="AF231" s="540"/>
      <c r="AG231" s="540"/>
    </row>
    <row r="232" spans="1:33" s="527" customFormat="1" ht="66">
      <c r="A232" s="527" t="s">
        <v>365</v>
      </c>
      <c r="B232" s="514" t="s">
        <v>808</v>
      </c>
      <c r="C232" s="514" t="s">
        <v>808</v>
      </c>
      <c r="D232" s="514" t="s">
        <v>457</v>
      </c>
      <c r="E232" s="528" t="s">
        <v>809</v>
      </c>
      <c r="F232" s="540"/>
      <c r="G232" s="540"/>
      <c r="H232" s="540"/>
      <c r="I232" s="540"/>
      <c r="J232" s="540"/>
      <c r="K232" s="540"/>
      <c r="L232" s="540"/>
      <c r="M232" s="540"/>
      <c r="N232" s="540"/>
      <c r="O232" s="540"/>
      <c r="P232" s="540"/>
      <c r="Q232" s="540"/>
      <c r="R232" s="540"/>
      <c r="S232" s="540"/>
      <c r="T232" s="540"/>
      <c r="U232" s="540"/>
      <c r="V232" s="540"/>
      <c r="W232" s="540"/>
      <c r="X232" s="540"/>
      <c r="Y232" s="540"/>
      <c r="Z232" s="540"/>
      <c r="AA232" s="540"/>
      <c r="AB232" s="540"/>
      <c r="AC232" s="540"/>
      <c r="AD232" s="540"/>
      <c r="AE232" s="540"/>
      <c r="AF232" s="540"/>
      <c r="AG232" s="540"/>
    </row>
    <row r="233" spans="1:33" s="527" customFormat="1">
      <c r="A233" s="531" t="s">
        <v>372</v>
      </c>
      <c r="B233" s="532" t="s">
        <v>808</v>
      </c>
      <c r="C233" s="532" t="s">
        <v>810</v>
      </c>
      <c r="D233" s="532" t="s">
        <v>457</v>
      </c>
      <c r="E233" s="532" t="s">
        <v>811</v>
      </c>
      <c r="F233" s="540"/>
      <c r="G233" s="540"/>
      <c r="H233" s="540"/>
      <c r="I233" s="540"/>
      <c r="J233" s="540"/>
      <c r="K233" s="540"/>
      <c r="L233" s="540"/>
      <c r="M233" s="540"/>
      <c r="N233" s="540"/>
      <c r="O233" s="540"/>
      <c r="P233" s="540"/>
      <c r="Q233" s="540"/>
      <c r="R233" s="540"/>
      <c r="S233" s="540"/>
      <c r="T233" s="540"/>
      <c r="U233" s="540"/>
      <c r="V233" s="540"/>
      <c r="W233" s="540"/>
      <c r="X233" s="540"/>
      <c r="Y233" s="540"/>
      <c r="Z233" s="540"/>
      <c r="AA233" s="540"/>
      <c r="AB233" s="540"/>
      <c r="AC233" s="540"/>
      <c r="AD233" s="540"/>
      <c r="AE233" s="540"/>
      <c r="AF233" s="540"/>
      <c r="AG233" s="540"/>
    </row>
    <row r="234" spans="1:33" s="527" customFormat="1" ht="52.8">
      <c r="A234" s="531" t="s">
        <v>372</v>
      </c>
      <c r="B234" s="532" t="s">
        <v>808</v>
      </c>
      <c r="C234" s="532" t="s">
        <v>812</v>
      </c>
      <c r="D234" s="532" t="s">
        <v>457</v>
      </c>
      <c r="E234" s="532" t="s">
        <v>813</v>
      </c>
      <c r="F234" s="540"/>
      <c r="G234" s="540"/>
      <c r="H234" s="540"/>
      <c r="I234" s="540"/>
      <c r="J234" s="540"/>
      <c r="K234" s="540"/>
      <c r="L234" s="540"/>
      <c r="M234" s="540"/>
      <c r="N234" s="540"/>
      <c r="O234" s="540"/>
      <c r="P234" s="540"/>
      <c r="Q234" s="540"/>
      <c r="R234" s="540"/>
      <c r="S234" s="540"/>
      <c r="T234" s="540"/>
      <c r="U234" s="540"/>
      <c r="V234" s="540"/>
      <c r="W234" s="540"/>
      <c r="X234" s="540"/>
      <c r="Y234" s="540"/>
      <c r="Z234" s="540"/>
      <c r="AA234" s="540"/>
      <c r="AB234" s="540"/>
      <c r="AC234" s="540"/>
      <c r="AD234" s="540"/>
      <c r="AE234" s="540"/>
      <c r="AF234" s="540"/>
      <c r="AG234" s="540"/>
    </row>
    <row r="235" spans="1:33" s="527" customFormat="1" ht="26.4">
      <c r="A235" s="531" t="s">
        <v>372</v>
      </c>
      <c r="B235" s="532" t="s">
        <v>808</v>
      </c>
      <c r="C235" s="532" t="s">
        <v>814</v>
      </c>
      <c r="D235" s="532" t="s">
        <v>457</v>
      </c>
      <c r="E235" s="532" t="s">
        <v>815</v>
      </c>
      <c r="F235" s="540"/>
      <c r="G235" s="540"/>
      <c r="H235" s="540"/>
      <c r="I235" s="540"/>
      <c r="J235" s="540"/>
      <c r="K235" s="540"/>
      <c r="L235" s="540"/>
      <c r="M235" s="540"/>
      <c r="N235" s="540"/>
      <c r="O235" s="540"/>
      <c r="P235" s="540"/>
      <c r="Q235" s="540"/>
      <c r="R235" s="540"/>
      <c r="S235" s="540"/>
      <c r="T235" s="540"/>
      <c r="U235" s="540"/>
      <c r="V235" s="540"/>
      <c r="W235" s="540"/>
      <c r="X235" s="540"/>
      <c r="Y235" s="540"/>
      <c r="Z235" s="540"/>
      <c r="AA235" s="540"/>
      <c r="AB235" s="540"/>
      <c r="AC235" s="540"/>
      <c r="AD235" s="540"/>
      <c r="AE235" s="540"/>
      <c r="AF235" s="540"/>
      <c r="AG235" s="540"/>
    </row>
    <row r="236" spans="1:33" s="527" customFormat="1" ht="52.8">
      <c r="A236" s="527" t="s">
        <v>365</v>
      </c>
      <c r="B236" s="514" t="s">
        <v>816</v>
      </c>
      <c r="C236" s="514" t="s">
        <v>816</v>
      </c>
      <c r="D236" s="514" t="s">
        <v>519</v>
      </c>
      <c r="E236" s="528" t="s">
        <v>817</v>
      </c>
      <c r="F236" s="540"/>
      <c r="G236" s="540"/>
      <c r="H236" s="540"/>
      <c r="I236" s="540"/>
      <c r="J236" s="540"/>
      <c r="K236" s="540"/>
      <c r="L236" s="540"/>
      <c r="M236" s="540"/>
      <c r="N236" s="540"/>
      <c r="O236" s="540"/>
      <c r="P236" s="540"/>
      <c r="Q236" s="540"/>
      <c r="R236" s="540"/>
      <c r="S236" s="540"/>
      <c r="T236" s="540"/>
      <c r="U236" s="540"/>
      <c r="V236" s="540"/>
      <c r="W236" s="540"/>
      <c r="X236" s="540"/>
      <c r="Y236" s="540"/>
      <c r="Z236" s="540"/>
      <c r="AA236" s="540"/>
      <c r="AB236" s="540"/>
      <c r="AC236" s="540"/>
      <c r="AD236" s="540"/>
      <c r="AE236" s="540"/>
      <c r="AF236" s="540"/>
      <c r="AG236" s="540"/>
    </row>
    <row r="237" spans="1:33" s="527" customFormat="1" ht="39.6">
      <c r="A237" s="531" t="s">
        <v>372</v>
      </c>
      <c r="B237" s="532" t="s">
        <v>816</v>
      </c>
      <c r="C237" s="532" t="s">
        <v>818</v>
      </c>
      <c r="D237" s="532" t="s">
        <v>519</v>
      </c>
      <c r="E237" s="532" t="s">
        <v>819</v>
      </c>
      <c r="F237" s="540"/>
      <c r="G237" s="540"/>
      <c r="H237" s="540"/>
      <c r="I237" s="540"/>
      <c r="J237" s="540"/>
      <c r="K237" s="540"/>
      <c r="L237" s="540"/>
      <c r="M237" s="540"/>
      <c r="N237" s="540"/>
      <c r="O237" s="540"/>
      <c r="P237" s="540"/>
      <c r="Q237" s="540"/>
      <c r="R237" s="540"/>
      <c r="S237" s="540"/>
      <c r="T237" s="540"/>
      <c r="U237" s="540"/>
      <c r="V237" s="540"/>
      <c r="W237" s="540"/>
      <c r="X237" s="540"/>
      <c r="Y237" s="540"/>
      <c r="Z237" s="540"/>
      <c r="AA237" s="540"/>
      <c r="AB237" s="540"/>
      <c r="AC237" s="540"/>
      <c r="AD237" s="540"/>
      <c r="AE237" s="540"/>
      <c r="AF237" s="540"/>
      <c r="AG237" s="540"/>
    </row>
    <row r="238" spans="1:33" s="527" customFormat="1" ht="39.6">
      <c r="A238" s="531" t="s">
        <v>372</v>
      </c>
      <c r="B238" s="532" t="s">
        <v>816</v>
      </c>
      <c r="C238" s="532" t="s">
        <v>820</v>
      </c>
      <c r="D238" s="532" t="s">
        <v>519</v>
      </c>
      <c r="E238" s="532" t="s">
        <v>821</v>
      </c>
      <c r="F238" s="540"/>
      <c r="G238" s="540"/>
      <c r="H238" s="540"/>
      <c r="I238" s="540"/>
      <c r="J238" s="540"/>
      <c r="K238" s="540"/>
      <c r="L238" s="540"/>
      <c r="M238" s="540"/>
      <c r="N238" s="540"/>
      <c r="O238" s="540"/>
      <c r="P238" s="540"/>
      <c r="Q238" s="540"/>
      <c r="R238" s="540"/>
      <c r="S238" s="540"/>
      <c r="T238" s="540"/>
      <c r="U238" s="540"/>
      <c r="V238" s="540"/>
      <c r="W238" s="540"/>
      <c r="X238" s="540"/>
      <c r="Y238" s="540"/>
      <c r="Z238" s="540"/>
      <c r="AA238" s="540"/>
      <c r="AB238" s="540"/>
      <c r="AC238" s="540"/>
      <c r="AD238" s="540"/>
      <c r="AE238" s="540"/>
      <c r="AF238" s="540"/>
      <c r="AG238" s="540"/>
    </row>
    <row r="239" spans="1:33" s="527" customFormat="1" ht="26.4">
      <c r="A239" s="537" t="s">
        <v>365</v>
      </c>
      <c r="B239" s="538" t="s">
        <v>822</v>
      </c>
      <c r="C239" s="538" t="s">
        <v>822</v>
      </c>
      <c r="D239" s="538" t="s">
        <v>519</v>
      </c>
      <c r="E239" s="538" t="s">
        <v>823</v>
      </c>
      <c r="F239" s="540"/>
      <c r="G239" s="540"/>
      <c r="H239" s="540"/>
      <c r="I239" s="540"/>
      <c r="J239" s="540"/>
      <c r="K239" s="540"/>
      <c r="L239" s="540"/>
      <c r="M239" s="540"/>
      <c r="N239" s="540"/>
      <c r="O239" s="540"/>
      <c r="P239" s="540"/>
      <c r="Q239" s="540"/>
      <c r="R239" s="540"/>
      <c r="S239" s="540"/>
      <c r="T239" s="540"/>
      <c r="U239" s="540"/>
      <c r="V239" s="540"/>
      <c r="W239" s="540"/>
      <c r="X239" s="540"/>
      <c r="Y239" s="540"/>
      <c r="Z239" s="540"/>
      <c r="AA239" s="540"/>
      <c r="AB239" s="540"/>
      <c r="AC239" s="540"/>
      <c r="AD239" s="540"/>
      <c r="AE239" s="540"/>
      <c r="AF239" s="540"/>
      <c r="AG239" s="540"/>
    </row>
    <row r="240" spans="1:33" s="527" customFormat="1" ht="26.4">
      <c r="A240" s="540" t="s">
        <v>365</v>
      </c>
      <c r="B240" s="513" t="s">
        <v>824</v>
      </c>
      <c r="C240" s="513" t="s">
        <v>824</v>
      </c>
      <c r="D240" s="513" t="s">
        <v>825</v>
      </c>
      <c r="E240" s="513" t="s">
        <v>826</v>
      </c>
      <c r="F240" s="540"/>
      <c r="G240" s="540"/>
      <c r="H240" s="540"/>
      <c r="I240" s="540"/>
      <c r="J240" s="540"/>
      <c r="K240" s="540"/>
      <c r="L240" s="540"/>
      <c r="M240" s="540"/>
      <c r="N240" s="540"/>
      <c r="O240" s="540"/>
      <c r="P240" s="540"/>
      <c r="Q240" s="540"/>
      <c r="R240" s="540"/>
      <c r="S240" s="540"/>
      <c r="T240" s="540"/>
      <c r="U240" s="540"/>
      <c r="V240" s="540"/>
      <c r="W240" s="540"/>
      <c r="X240" s="540"/>
      <c r="Y240" s="540"/>
      <c r="Z240" s="540"/>
      <c r="AA240" s="540"/>
      <c r="AB240" s="540"/>
      <c r="AC240" s="540"/>
      <c r="AD240" s="540"/>
      <c r="AE240" s="540"/>
      <c r="AF240" s="540"/>
      <c r="AG240" s="540"/>
    </row>
    <row r="241" spans="1:33" s="527" customFormat="1" ht="39.6">
      <c r="A241" s="531" t="s">
        <v>372</v>
      </c>
      <c r="B241" s="532" t="s">
        <v>824</v>
      </c>
      <c r="C241" s="532" t="s">
        <v>827</v>
      </c>
      <c r="D241" s="532" t="s">
        <v>825</v>
      </c>
      <c r="E241" s="532" t="s">
        <v>828</v>
      </c>
      <c r="F241" s="540"/>
      <c r="G241" s="540"/>
      <c r="H241" s="540"/>
      <c r="I241" s="540"/>
      <c r="J241" s="540"/>
      <c r="K241" s="540"/>
      <c r="L241" s="540"/>
      <c r="M241" s="540"/>
      <c r="N241" s="540"/>
      <c r="O241" s="540"/>
      <c r="P241" s="540"/>
      <c r="Q241" s="540"/>
      <c r="R241" s="540"/>
      <c r="S241" s="540"/>
      <c r="T241" s="540"/>
      <c r="U241" s="540"/>
      <c r="V241" s="540"/>
      <c r="W241" s="540"/>
      <c r="X241" s="540"/>
      <c r="Y241" s="540"/>
      <c r="Z241" s="540"/>
      <c r="AA241" s="540"/>
      <c r="AB241" s="540"/>
      <c r="AC241" s="540"/>
      <c r="AD241" s="540"/>
      <c r="AE241" s="540"/>
      <c r="AF241" s="540"/>
      <c r="AG241" s="540"/>
    </row>
    <row r="242" spans="1:33" s="527" customFormat="1" ht="39.6">
      <c r="A242" s="531" t="s">
        <v>372</v>
      </c>
      <c r="B242" s="532" t="s">
        <v>824</v>
      </c>
      <c r="C242" s="532" t="s">
        <v>829</v>
      </c>
      <c r="D242" s="532" t="s">
        <v>825</v>
      </c>
      <c r="E242" s="532" t="s">
        <v>830</v>
      </c>
      <c r="F242" s="540"/>
      <c r="G242" s="540"/>
      <c r="H242" s="540"/>
      <c r="I242" s="540"/>
      <c r="J242" s="540"/>
      <c r="K242" s="540"/>
      <c r="L242" s="540"/>
      <c r="M242" s="540"/>
      <c r="N242" s="540"/>
      <c r="O242" s="540"/>
      <c r="P242" s="540"/>
      <c r="Q242" s="540"/>
      <c r="R242" s="540"/>
      <c r="S242" s="540"/>
      <c r="T242" s="540"/>
      <c r="U242" s="540"/>
      <c r="V242" s="540"/>
      <c r="W242" s="540"/>
      <c r="X242" s="540"/>
      <c r="Y242" s="540"/>
      <c r="Z242" s="540"/>
      <c r="AA242" s="540"/>
      <c r="AB242" s="540"/>
      <c r="AC242" s="540"/>
      <c r="AD242" s="540"/>
      <c r="AE242" s="540"/>
      <c r="AF242" s="540"/>
      <c r="AG242" s="540"/>
    </row>
    <row r="243" spans="1:33" s="527" customFormat="1" ht="39.6">
      <c r="A243" s="531" t="s">
        <v>372</v>
      </c>
      <c r="B243" s="532" t="s">
        <v>824</v>
      </c>
      <c r="C243" s="532" t="s">
        <v>831</v>
      </c>
      <c r="D243" s="532" t="s">
        <v>825</v>
      </c>
      <c r="E243" s="532" t="s">
        <v>832</v>
      </c>
      <c r="F243" s="540"/>
      <c r="G243" s="540"/>
      <c r="H243" s="540"/>
      <c r="I243" s="540"/>
      <c r="J243" s="540"/>
      <c r="K243" s="540"/>
      <c r="L243" s="540"/>
      <c r="M243" s="540"/>
      <c r="N243" s="540"/>
      <c r="O243" s="540"/>
      <c r="P243" s="540"/>
      <c r="Q243" s="540"/>
      <c r="R243" s="540"/>
      <c r="S243" s="540"/>
      <c r="T243" s="540"/>
      <c r="U243" s="540"/>
      <c r="V243" s="540"/>
      <c r="W243" s="540"/>
      <c r="X243" s="540"/>
      <c r="Y243" s="540"/>
      <c r="Z243" s="540"/>
      <c r="AA243" s="540"/>
      <c r="AB243" s="540"/>
      <c r="AC243" s="540"/>
      <c r="AD243" s="540"/>
      <c r="AE243" s="540"/>
      <c r="AF243" s="540"/>
      <c r="AG243" s="540"/>
    </row>
    <row r="244" spans="1:33" s="527" customFormat="1" ht="26.4">
      <c r="A244" s="537" t="s">
        <v>365</v>
      </c>
      <c r="B244" s="538" t="s">
        <v>833</v>
      </c>
      <c r="C244" s="538" t="s">
        <v>833</v>
      </c>
      <c r="D244" s="538" t="s">
        <v>519</v>
      </c>
      <c r="E244" s="541" t="s">
        <v>834</v>
      </c>
      <c r="F244" s="540"/>
      <c r="G244" s="540"/>
      <c r="H244" s="540"/>
      <c r="I244" s="540"/>
      <c r="J244" s="540"/>
      <c r="K244" s="540"/>
      <c r="L244" s="540"/>
      <c r="M244" s="540"/>
      <c r="N244" s="540"/>
      <c r="O244" s="540"/>
      <c r="P244" s="540"/>
      <c r="Q244" s="540"/>
      <c r="R244" s="540"/>
      <c r="S244" s="540"/>
      <c r="T244" s="540"/>
      <c r="U244" s="540"/>
      <c r="V244" s="540"/>
      <c r="W244" s="540"/>
      <c r="X244" s="540"/>
      <c r="Y244" s="540"/>
      <c r="Z244" s="540"/>
      <c r="AA244" s="540"/>
      <c r="AB244" s="540"/>
      <c r="AC244" s="540"/>
      <c r="AD244" s="540"/>
      <c r="AE244" s="540"/>
      <c r="AF244" s="540"/>
      <c r="AG244" s="540"/>
    </row>
    <row r="245" spans="1:33" s="527" customFormat="1" ht="39.6">
      <c r="A245" s="527" t="s">
        <v>365</v>
      </c>
      <c r="B245" s="514" t="s">
        <v>835</v>
      </c>
      <c r="C245" s="514" t="s">
        <v>835</v>
      </c>
      <c r="D245" s="514" t="s">
        <v>760</v>
      </c>
      <c r="E245" s="514" t="s">
        <v>836</v>
      </c>
      <c r="F245" s="540"/>
      <c r="G245" s="540"/>
      <c r="H245" s="540"/>
      <c r="I245" s="540"/>
      <c r="J245" s="540"/>
      <c r="K245" s="540"/>
      <c r="L245" s="540"/>
      <c r="M245" s="540"/>
      <c r="N245" s="540"/>
      <c r="O245" s="540"/>
      <c r="P245" s="540"/>
      <c r="Q245" s="540"/>
      <c r="R245" s="540"/>
      <c r="S245" s="540"/>
      <c r="T245" s="540"/>
      <c r="U245" s="540"/>
      <c r="V245" s="540"/>
      <c r="W245" s="540"/>
      <c r="X245" s="540"/>
      <c r="Y245" s="540"/>
      <c r="Z245" s="540"/>
      <c r="AA245" s="540"/>
      <c r="AB245" s="540"/>
      <c r="AC245" s="540"/>
      <c r="AD245" s="540"/>
      <c r="AE245" s="540"/>
      <c r="AF245" s="540"/>
      <c r="AG245" s="540"/>
    </row>
    <row r="246" spans="1:33" s="527" customFormat="1" ht="26.4">
      <c r="A246" s="527" t="s">
        <v>365</v>
      </c>
      <c r="B246" s="514" t="s">
        <v>837</v>
      </c>
      <c r="C246" s="514" t="s">
        <v>837</v>
      </c>
      <c r="D246" s="514" t="s">
        <v>825</v>
      </c>
      <c r="E246" s="513" t="s">
        <v>838</v>
      </c>
      <c r="F246" s="540"/>
      <c r="G246" s="540"/>
      <c r="H246" s="540"/>
      <c r="I246" s="540"/>
      <c r="J246" s="540"/>
      <c r="K246" s="540"/>
      <c r="L246" s="540"/>
      <c r="M246" s="540"/>
      <c r="N246" s="540"/>
      <c r="O246" s="540"/>
      <c r="P246" s="540"/>
      <c r="Q246" s="540"/>
      <c r="R246" s="540"/>
      <c r="S246" s="540"/>
      <c r="T246" s="540"/>
      <c r="U246" s="540"/>
      <c r="V246" s="540"/>
      <c r="W246" s="540"/>
      <c r="X246" s="540"/>
      <c r="Y246" s="540"/>
      <c r="Z246" s="540"/>
      <c r="AA246" s="540"/>
      <c r="AB246" s="540"/>
      <c r="AC246" s="540"/>
      <c r="AD246" s="540"/>
      <c r="AE246" s="540"/>
      <c r="AF246" s="540"/>
      <c r="AG246" s="540"/>
    </row>
    <row r="247" spans="1:33" s="527" customFormat="1" ht="26.4">
      <c r="A247" s="534" t="s">
        <v>372</v>
      </c>
      <c r="B247" s="535" t="s">
        <v>837</v>
      </c>
      <c r="C247" s="535" t="s">
        <v>839</v>
      </c>
      <c r="D247" s="535" t="s">
        <v>825</v>
      </c>
      <c r="E247" s="535" t="s">
        <v>840</v>
      </c>
      <c r="F247" s="540"/>
      <c r="G247" s="540"/>
      <c r="H247" s="540"/>
      <c r="I247" s="540"/>
      <c r="J247" s="540"/>
      <c r="K247" s="540"/>
      <c r="L247" s="540"/>
      <c r="M247" s="540"/>
      <c r="N247" s="540"/>
      <c r="O247" s="540"/>
      <c r="P247" s="540"/>
      <c r="Q247" s="540"/>
      <c r="R247" s="540"/>
      <c r="S247" s="540"/>
      <c r="T247" s="540"/>
      <c r="U247" s="540"/>
      <c r="V247" s="540"/>
      <c r="W247" s="540"/>
      <c r="X247" s="540"/>
      <c r="Y247" s="540"/>
      <c r="Z247" s="540"/>
      <c r="AA247" s="540"/>
      <c r="AB247" s="540"/>
      <c r="AC247" s="540"/>
      <c r="AD247" s="540"/>
      <c r="AE247" s="540"/>
      <c r="AF247" s="540"/>
      <c r="AG247" s="540"/>
    </row>
    <row r="248" spans="1:33" s="527" customFormat="1" ht="26.4">
      <c r="A248" s="534" t="s">
        <v>372</v>
      </c>
      <c r="B248" s="535" t="s">
        <v>837</v>
      </c>
      <c r="C248" s="535" t="s">
        <v>841</v>
      </c>
      <c r="D248" s="535" t="s">
        <v>825</v>
      </c>
      <c r="E248" s="535" t="s">
        <v>842</v>
      </c>
      <c r="F248" s="540"/>
      <c r="G248" s="540"/>
      <c r="H248" s="540"/>
      <c r="I248" s="540"/>
      <c r="J248" s="540"/>
      <c r="K248" s="540"/>
      <c r="L248" s="540"/>
      <c r="M248" s="540"/>
      <c r="N248" s="540"/>
      <c r="O248" s="540"/>
      <c r="P248" s="540"/>
      <c r="Q248" s="540"/>
      <c r="R248" s="540"/>
      <c r="S248" s="540"/>
      <c r="T248" s="540"/>
      <c r="U248" s="540"/>
      <c r="V248" s="540"/>
      <c r="W248" s="540"/>
      <c r="X248" s="540"/>
      <c r="Y248" s="540"/>
      <c r="Z248" s="540"/>
      <c r="AA248" s="540"/>
      <c r="AB248" s="540"/>
      <c r="AC248" s="540"/>
      <c r="AD248" s="540"/>
      <c r="AE248" s="540"/>
      <c r="AF248" s="540"/>
      <c r="AG248" s="540"/>
    </row>
    <row r="249" spans="1:33" s="527" customFormat="1" ht="39.6">
      <c r="A249" s="537" t="s">
        <v>365</v>
      </c>
      <c r="B249" s="538" t="s">
        <v>843</v>
      </c>
      <c r="C249" s="538" t="s">
        <v>844</v>
      </c>
      <c r="D249" s="538" t="s">
        <v>519</v>
      </c>
      <c r="E249" s="541" t="s">
        <v>845</v>
      </c>
      <c r="F249" s="540"/>
      <c r="G249" s="540"/>
      <c r="H249" s="540"/>
      <c r="I249" s="540"/>
      <c r="J249" s="540"/>
      <c r="K249" s="540"/>
      <c r="L249" s="540"/>
      <c r="M249" s="540"/>
      <c r="N249" s="540"/>
      <c r="O249" s="540"/>
      <c r="P249" s="540"/>
      <c r="Q249" s="540"/>
      <c r="R249" s="540"/>
      <c r="S249" s="540"/>
      <c r="T249" s="540"/>
      <c r="U249" s="540"/>
      <c r="V249" s="540"/>
      <c r="W249" s="540"/>
      <c r="X249" s="540"/>
      <c r="Y249" s="540"/>
      <c r="Z249" s="540"/>
      <c r="AA249" s="540"/>
      <c r="AB249" s="540"/>
      <c r="AC249" s="540"/>
      <c r="AD249" s="540"/>
      <c r="AE249" s="540"/>
      <c r="AF249" s="540"/>
      <c r="AG249" s="540"/>
    </row>
    <row r="250" spans="1:33" s="527" customFormat="1">
      <c r="A250" s="537" t="s">
        <v>365</v>
      </c>
      <c r="B250" s="538" t="s">
        <v>846</v>
      </c>
      <c r="C250" s="538" t="s">
        <v>846</v>
      </c>
      <c r="D250" s="538" t="s">
        <v>519</v>
      </c>
      <c r="E250" s="538" t="s">
        <v>847</v>
      </c>
      <c r="F250" s="540"/>
      <c r="G250" s="540"/>
      <c r="H250" s="540"/>
      <c r="I250" s="540"/>
      <c r="J250" s="540"/>
      <c r="K250" s="540"/>
      <c r="L250" s="540"/>
      <c r="M250" s="540"/>
      <c r="N250" s="540"/>
      <c r="O250" s="540"/>
      <c r="P250" s="540"/>
      <c r="Q250" s="540"/>
      <c r="R250" s="540"/>
      <c r="S250" s="540"/>
      <c r="T250" s="540"/>
      <c r="U250" s="540"/>
      <c r="V250" s="540"/>
      <c r="W250" s="540"/>
      <c r="X250" s="540"/>
      <c r="Y250" s="540"/>
      <c r="Z250" s="540"/>
      <c r="AA250" s="540"/>
      <c r="AB250" s="540"/>
      <c r="AC250" s="540"/>
      <c r="AD250" s="540"/>
      <c r="AE250" s="540"/>
      <c r="AF250" s="540"/>
      <c r="AG250" s="540"/>
    </row>
    <row r="251" spans="1:33" s="527" customFormat="1" ht="39.6">
      <c r="A251" s="537" t="s">
        <v>365</v>
      </c>
      <c r="B251" s="538" t="s">
        <v>848</v>
      </c>
      <c r="C251" s="538" t="s">
        <v>848</v>
      </c>
      <c r="D251" s="538" t="s">
        <v>760</v>
      </c>
      <c r="E251" s="538" t="s">
        <v>849</v>
      </c>
      <c r="F251" s="540"/>
      <c r="G251" s="540"/>
      <c r="H251" s="540"/>
      <c r="I251" s="540"/>
      <c r="J251" s="540"/>
      <c r="K251" s="540"/>
      <c r="L251" s="540"/>
      <c r="M251" s="540"/>
      <c r="N251" s="540"/>
      <c r="O251" s="540"/>
      <c r="P251" s="540"/>
      <c r="Q251" s="540"/>
      <c r="R251" s="540"/>
      <c r="S251" s="540"/>
      <c r="T251" s="540"/>
      <c r="U251" s="540"/>
      <c r="V251" s="540"/>
      <c r="W251" s="540"/>
      <c r="X251" s="540"/>
      <c r="Y251" s="540"/>
      <c r="Z251" s="540"/>
      <c r="AA251" s="540"/>
      <c r="AB251" s="540"/>
      <c r="AC251" s="540"/>
      <c r="AD251" s="540"/>
      <c r="AE251" s="540"/>
      <c r="AF251" s="540"/>
      <c r="AG251" s="540"/>
    </row>
    <row r="252" spans="1:33" s="527" customFormat="1" ht="39.6">
      <c r="A252" s="537" t="s">
        <v>365</v>
      </c>
      <c r="B252" s="538" t="s">
        <v>850</v>
      </c>
      <c r="C252" s="538" t="s">
        <v>850</v>
      </c>
      <c r="D252" s="538" t="s">
        <v>851</v>
      </c>
      <c r="E252" s="538" t="s">
        <v>852</v>
      </c>
      <c r="F252" s="540"/>
      <c r="G252" s="540"/>
      <c r="H252" s="540"/>
      <c r="I252" s="540"/>
      <c r="J252" s="540"/>
      <c r="K252" s="540"/>
      <c r="L252" s="540"/>
      <c r="M252" s="540"/>
      <c r="N252" s="540"/>
      <c r="O252" s="540"/>
      <c r="P252" s="540"/>
      <c r="Q252" s="540"/>
      <c r="R252" s="540"/>
      <c r="S252" s="540"/>
      <c r="T252" s="540"/>
      <c r="U252" s="540"/>
      <c r="V252" s="540"/>
      <c r="W252" s="540"/>
      <c r="X252" s="540"/>
      <c r="Y252" s="540"/>
      <c r="Z252" s="540"/>
      <c r="AA252" s="540"/>
      <c r="AB252" s="540"/>
      <c r="AC252" s="540"/>
      <c r="AD252" s="540"/>
      <c r="AE252" s="540"/>
      <c r="AF252" s="540"/>
      <c r="AG252" s="540"/>
    </row>
    <row r="253" spans="1:33" s="527" customFormat="1" ht="75.75" customHeight="1">
      <c r="A253" s="527" t="s">
        <v>365</v>
      </c>
      <c r="B253" s="514" t="s">
        <v>853</v>
      </c>
      <c r="C253" s="514" t="s">
        <v>853</v>
      </c>
      <c r="D253" s="514" t="s">
        <v>519</v>
      </c>
      <c r="E253" s="514" t="s">
        <v>421</v>
      </c>
      <c r="F253" s="540"/>
      <c r="G253" s="540"/>
      <c r="H253" s="540"/>
      <c r="I253" s="540"/>
      <c r="J253" s="540"/>
      <c r="K253" s="540"/>
      <c r="L253" s="540"/>
      <c r="M253" s="540"/>
      <c r="N253" s="540"/>
      <c r="O253" s="540"/>
      <c r="P253" s="540"/>
      <c r="Q253" s="540"/>
      <c r="R253" s="540"/>
      <c r="S253" s="540"/>
      <c r="T253" s="540"/>
      <c r="U253" s="540"/>
      <c r="V253" s="540"/>
      <c r="W253" s="540"/>
      <c r="X253" s="540"/>
      <c r="Y253" s="540"/>
      <c r="Z253" s="540"/>
      <c r="AA253" s="540"/>
      <c r="AB253" s="540"/>
      <c r="AC253" s="540"/>
      <c r="AD253" s="540"/>
      <c r="AE253" s="540"/>
      <c r="AF253" s="540"/>
      <c r="AG253" s="540"/>
    </row>
    <row r="254" spans="1:33" s="527" customFormat="1" ht="79.2">
      <c r="A254" s="537" t="s">
        <v>365</v>
      </c>
      <c r="B254" s="538" t="s">
        <v>854</v>
      </c>
      <c r="C254" s="538" t="s">
        <v>855</v>
      </c>
      <c r="D254" s="538" t="s">
        <v>370</v>
      </c>
      <c r="E254" s="538" t="s">
        <v>856</v>
      </c>
      <c r="F254" s="540"/>
      <c r="G254" s="540"/>
      <c r="H254" s="540"/>
      <c r="I254" s="540"/>
      <c r="J254" s="540"/>
      <c r="K254" s="540"/>
      <c r="L254" s="540"/>
      <c r="M254" s="540"/>
      <c r="N254" s="540"/>
      <c r="O254" s="540"/>
      <c r="P254" s="540"/>
      <c r="Q254" s="540"/>
      <c r="R254" s="540"/>
      <c r="S254" s="540"/>
      <c r="T254" s="540"/>
      <c r="U254" s="540"/>
      <c r="V254" s="540"/>
      <c r="W254" s="540"/>
      <c r="X254" s="540"/>
      <c r="Y254" s="540"/>
      <c r="Z254" s="540"/>
      <c r="AA254" s="540"/>
      <c r="AB254" s="540"/>
      <c r="AC254" s="540"/>
      <c r="AD254" s="540"/>
      <c r="AE254" s="540"/>
      <c r="AF254" s="540"/>
      <c r="AG254" s="540"/>
    </row>
    <row r="255" spans="1:33" s="527" customFormat="1" ht="118.8">
      <c r="A255" s="527" t="s">
        <v>365</v>
      </c>
      <c r="B255" s="514" t="s">
        <v>857</v>
      </c>
      <c r="C255" s="514" t="s">
        <v>858</v>
      </c>
      <c r="D255" s="514" t="s">
        <v>457</v>
      </c>
      <c r="E255" s="528" t="s">
        <v>859</v>
      </c>
      <c r="F255" s="540"/>
      <c r="G255" s="540"/>
      <c r="H255" s="540"/>
      <c r="I255" s="540"/>
      <c r="J255" s="540"/>
      <c r="K255" s="540"/>
      <c r="L255" s="540"/>
      <c r="M255" s="540"/>
      <c r="N255" s="540"/>
      <c r="O255" s="540"/>
      <c r="P255" s="540"/>
      <c r="Q255" s="540"/>
      <c r="R255" s="540"/>
      <c r="S255" s="540"/>
      <c r="T255" s="540"/>
      <c r="U255" s="540"/>
      <c r="V255" s="540"/>
      <c r="W255" s="540"/>
      <c r="X255" s="540"/>
      <c r="Y255" s="540"/>
      <c r="Z255" s="540"/>
      <c r="AA255" s="540"/>
      <c r="AB255" s="540"/>
      <c r="AC255" s="540"/>
      <c r="AD255" s="540"/>
      <c r="AE255" s="540"/>
      <c r="AF255" s="540"/>
      <c r="AG255" s="540"/>
    </row>
    <row r="256" spans="1:33" s="529" customFormat="1">
      <c r="A256" s="531" t="s">
        <v>372</v>
      </c>
      <c r="B256" s="532" t="s">
        <v>857</v>
      </c>
      <c r="C256" s="532" t="s">
        <v>860</v>
      </c>
      <c r="D256" s="532" t="s">
        <v>457</v>
      </c>
      <c r="E256" s="532" t="s">
        <v>861</v>
      </c>
    </row>
    <row r="257" spans="1:33" s="529" customFormat="1">
      <c r="A257" s="531" t="s">
        <v>372</v>
      </c>
      <c r="B257" s="532" t="s">
        <v>857</v>
      </c>
      <c r="C257" s="532" t="s">
        <v>862</v>
      </c>
      <c r="D257" s="532" t="s">
        <v>457</v>
      </c>
      <c r="E257" s="532" t="s">
        <v>863</v>
      </c>
    </row>
    <row r="258" spans="1:33" s="529" customFormat="1" ht="79.2">
      <c r="A258" s="537" t="s">
        <v>365</v>
      </c>
      <c r="B258" s="538" t="s">
        <v>864</v>
      </c>
      <c r="C258" s="538" t="s">
        <v>865</v>
      </c>
      <c r="D258" s="538" t="s">
        <v>370</v>
      </c>
      <c r="E258" s="538" t="s">
        <v>866</v>
      </c>
    </row>
    <row r="259" spans="1:33" s="529" customFormat="1" ht="105.6">
      <c r="A259" s="527" t="s">
        <v>365</v>
      </c>
      <c r="B259" s="514" t="s">
        <v>867</v>
      </c>
      <c r="C259" s="514" t="s">
        <v>868</v>
      </c>
      <c r="D259" s="514" t="s">
        <v>457</v>
      </c>
      <c r="E259" s="528" t="s">
        <v>869</v>
      </c>
    </row>
    <row r="260" spans="1:33" s="529" customFormat="1" ht="39.6">
      <c r="A260" s="531" t="s">
        <v>372</v>
      </c>
      <c r="B260" s="532" t="s">
        <v>867</v>
      </c>
      <c r="C260" s="532" t="s">
        <v>870</v>
      </c>
      <c r="D260" s="532" t="s">
        <v>457</v>
      </c>
      <c r="E260" s="532" t="s">
        <v>871</v>
      </c>
    </row>
    <row r="261" spans="1:33" s="529" customFormat="1" ht="26.4">
      <c r="A261" s="531" t="s">
        <v>372</v>
      </c>
      <c r="B261" s="532" t="s">
        <v>867</v>
      </c>
      <c r="C261" s="532" t="s">
        <v>872</v>
      </c>
      <c r="D261" s="532" t="s">
        <v>457</v>
      </c>
      <c r="E261" s="532" t="s">
        <v>873</v>
      </c>
    </row>
    <row r="262" spans="1:33" s="529" customFormat="1" ht="52.8">
      <c r="A262" s="531" t="s">
        <v>372</v>
      </c>
      <c r="B262" s="532" t="s">
        <v>867</v>
      </c>
      <c r="C262" s="532" t="s">
        <v>874</v>
      </c>
      <c r="D262" s="532" t="s">
        <v>457</v>
      </c>
      <c r="E262" s="544" t="s">
        <v>875</v>
      </c>
    </row>
    <row r="263" spans="1:33" s="529" customFormat="1" ht="66">
      <c r="A263" s="537" t="s">
        <v>365</v>
      </c>
      <c r="B263" s="538" t="s">
        <v>876</v>
      </c>
      <c r="C263" s="538" t="s">
        <v>877</v>
      </c>
      <c r="D263" s="538" t="s">
        <v>370</v>
      </c>
      <c r="E263" s="538" t="s">
        <v>878</v>
      </c>
    </row>
    <row r="264" spans="1:33" s="529" customFormat="1" ht="92.4">
      <c r="A264" s="527" t="s">
        <v>365</v>
      </c>
      <c r="B264" s="514" t="s">
        <v>879</v>
      </c>
      <c r="C264" s="514" t="s">
        <v>880</v>
      </c>
      <c r="D264" s="514" t="s">
        <v>457</v>
      </c>
      <c r="E264" s="528" t="s">
        <v>881</v>
      </c>
    </row>
    <row r="265" spans="1:33" s="529" customFormat="1" ht="39.6">
      <c r="A265" s="531" t="s">
        <v>372</v>
      </c>
      <c r="B265" s="532" t="s">
        <v>879</v>
      </c>
      <c r="C265" s="532" t="s">
        <v>882</v>
      </c>
      <c r="D265" s="532" t="s">
        <v>457</v>
      </c>
      <c r="E265" s="532" t="s">
        <v>883</v>
      </c>
    </row>
    <row r="266" spans="1:33" s="529" customFormat="1">
      <c r="A266" s="531" t="s">
        <v>372</v>
      </c>
      <c r="B266" s="532" t="s">
        <v>879</v>
      </c>
      <c r="C266" s="532" t="s">
        <v>884</v>
      </c>
      <c r="D266" s="532" t="s">
        <v>457</v>
      </c>
      <c r="E266" s="532" t="s">
        <v>811</v>
      </c>
    </row>
    <row r="267" spans="1:33" s="529" customFormat="1" ht="101.25" customHeight="1">
      <c r="A267" s="527" t="s">
        <v>365</v>
      </c>
      <c r="B267" s="514" t="s">
        <v>885</v>
      </c>
      <c r="C267" s="514" t="s">
        <v>771</v>
      </c>
      <c r="D267" s="514" t="s">
        <v>370</v>
      </c>
      <c r="E267" s="547" t="s">
        <v>886</v>
      </c>
    </row>
    <row r="268" spans="1:33" s="529" customFormat="1" ht="92.4">
      <c r="A268" s="531" t="s">
        <v>372</v>
      </c>
      <c r="B268" s="532" t="s">
        <v>885</v>
      </c>
      <c r="C268" s="532" t="s">
        <v>887</v>
      </c>
      <c r="D268" s="532" t="s">
        <v>370</v>
      </c>
      <c r="E268" s="548" t="s">
        <v>888</v>
      </c>
    </row>
    <row r="269" spans="1:33" s="529" customFormat="1" ht="28.8">
      <c r="A269" s="531" t="s">
        <v>372</v>
      </c>
      <c r="B269" s="532" t="s">
        <v>885</v>
      </c>
      <c r="C269" s="532" t="s">
        <v>889</v>
      </c>
      <c r="D269" s="532" t="s">
        <v>370</v>
      </c>
      <c r="E269" s="549" t="s">
        <v>890</v>
      </c>
    </row>
    <row r="270" spans="1:33" s="529" customFormat="1" ht="52.8">
      <c r="A270" s="531" t="s">
        <v>372</v>
      </c>
      <c r="B270" s="532" t="s">
        <v>885</v>
      </c>
      <c r="C270" s="532" t="s">
        <v>891</v>
      </c>
      <c r="D270" s="532" t="s">
        <v>370</v>
      </c>
      <c r="E270" s="548" t="s">
        <v>892</v>
      </c>
    </row>
    <row r="271" spans="1:33" s="529" customFormat="1" ht="66">
      <c r="A271" s="531" t="s">
        <v>372</v>
      </c>
      <c r="B271" s="532" t="s">
        <v>885</v>
      </c>
      <c r="C271" s="532" t="s">
        <v>893</v>
      </c>
      <c r="D271" s="532" t="s">
        <v>370</v>
      </c>
      <c r="E271" s="548" t="s">
        <v>894</v>
      </c>
    </row>
    <row r="272" spans="1:33" s="527" customFormat="1" ht="52.8">
      <c r="A272" s="531" t="s">
        <v>372</v>
      </c>
      <c r="B272" s="532" t="s">
        <v>885</v>
      </c>
      <c r="C272" s="531" t="s">
        <v>895</v>
      </c>
      <c r="D272" s="532" t="s">
        <v>370</v>
      </c>
      <c r="E272" s="548" t="s">
        <v>896</v>
      </c>
      <c r="F272" s="540"/>
      <c r="G272" s="540"/>
      <c r="H272" s="540"/>
      <c r="I272" s="540"/>
      <c r="J272" s="540"/>
      <c r="K272" s="540"/>
      <c r="L272" s="540"/>
      <c r="M272" s="540"/>
      <c r="N272" s="540"/>
      <c r="O272" s="540"/>
      <c r="P272" s="540"/>
      <c r="Q272" s="540"/>
      <c r="R272" s="540"/>
      <c r="S272" s="540"/>
      <c r="T272" s="540"/>
      <c r="U272" s="540"/>
      <c r="V272" s="540"/>
      <c r="W272" s="540"/>
      <c r="X272" s="540"/>
      <c r="Y272" s="540"/>
      <c r="Z272" s="540"/>
      <c r="AA272" s="540"/>
      <c r="AB272" s="540"/>
      <c r="AC272" s="540"/>
      <c r="AD272" s="540"/>
      <c r="AE272" s="540"/>
      <c r="AF272" s="540"/>
      <c r="AG272" s="540"/>
    </row>
    <row r="273" spans="1:33" s="527" customFormat="1" ht="92.4">
      <c r="A273" s="527" t="s">
        <v>365</v>
      </c>
      <c r="B273" s="514" t="s">
        <v>897</v>
      </c>
      <c r="C273" s="514" t="s">
        <v>771</v>
      </c>
      <c r="D273" s="514" t="s">
        <v>370</v>
      </c>
      <c r="E273" s="547" t="s">
        <v>898</v>
      </c>
      <c r="F273" s="540"/>
      <c r="G273" s="540"/>
      <c r="H273" s="540"/>
      <c r="I273" s="540"/>
      <c r="J273" s="540"/>
      <c r="K273" s="540"/>
      <c r="L273" s="540"/>
      <c r="M273" s="540"/>
      <c r="N273" s="540"/>
      <c r="O273" s="540"/>
      <c r="P273" s="540"/>
      <c r="Q273" s="540"/>
      <c r="R273" s="540"/>
      <c r="S273" s="540"/>
      <c r="T273" s="540"/>
      <c r="U273" s="540"/>
      <c r="V273" s="540"/>
      <c r="W273" s="540"/>
      <c r="X273" s="540"/>
      <c r="Y273" s="540"/>
      <c r="Z273" s="540"/>
      <c r="AA273" s="540"/>
      <c r="AB273" s="540"/>
      <c r="AC273" s="540"/>
      <c r="AD273" s="540"/>
      <c r="AE273" s="540"/>
      <c r="AF273" s="540"/>
      <c r="AG273" s="540"/>
    </row>
    <row r="274" spans="1:33" s="527" customFormat="1" ht="52.8">
      <c r="A274" s="531" t="s">
        <v>372</v>
      </c>
      <c r="B274" s="532" t="s">
        <v>897</v>
      </c>
      <c r="C274" s="532" t="s">
        <v>899</v>
      </c>
      <c r="D274" s="532" t="s">
        <v>370</v>
      </c>
      <c r="E274" s="548" t="s">
        <v>900</v>
      </c>
      <c r="F274" s="540"/>
      <c r="G274" s="540"/>
      <c r="H274" s="540"/>
      <c r="I274" s="540"/>
      <c r="J274" s="540"/>
      <c r="K274" s="540"/>
      <c r="L274" s="540"/>
      <c r="M274" s="540"/>
      <c r="N274" s="540"/>
      <c r="O274" s="540"/>
      <c r="P274" s="540"/>
      <c r="Q274" s="540"/>
      <c r="R274" s="540"/>
      <c r="S274" s="540"/>
      <c r="T274" s="540"/>
      <c r="U274" s="540"/>
      <c r="V274" s="540"/>
      <c r="W274" s="540"/>
      <c r="X274" s="540"/>
      <c r="Y274" s="540"/>
      <c r="Z274" s="540"/>
      <c r="AA274" s="540"/>
      <c r="AB274" s="540"/>
      <c r="AC274" s="540"/>
      <c r="AD274" s="540"/>
      <c r="AE274" s="540"/>
      <c r="AF274" s="540"/>
      <c r="AG274" s="540"/>
    </row>
    <row r="275" spans="1:33" s="527" customFormat="1" ht="52.8">
      <c r="A275" s="531" t="s">
        <v>372</v>
      </c>
      <c r="B275" s="532" t="s">
        <v>897</v>
      </c>
      <c r="C275" s="532" t="s">
        <v>901</v>
      </c>
      <c r="D275" s="532" t="s">
        <v>370</v>
      </c>
      <c r="E275" s="548" t="s">
        <v>902</v>
      </c>
      <c r="F275" s="540"/>
      <c r="G275" s="540"/>
      <c r="H275" s="540"/>
      <c r="I275" s="540"/>
      <c r="J275" s="540"/>
      <c r="K275" s="540"/>
      <c r="L275" s="540"/>
      <c r="M275" s="540"/>
      <c r="N275" s="540"/>
      <c r="O275" s="540"/>
      <c r="P275" s="540"/>
      <c r="Q275" s="540"/>
      <c r="R275" s="540"/>
      <c r="S275" s="540"/>
      <c r="T275" s="540"/>
      <c r="U275" s="540"/>
      <c r="V275" s="540"/>
      <c r="W275" s="540"/>
      <c r="X275" s="540"/>
      <c r="Y275" s="540"/>
      <c r="Z275" s="540"/>
      <c r="AA275" s="540"/>
      <c r="AB275" s="540"/>
      <c r="AC275" s="540"/>
      <c r="AD275" s="540"/>
      <c r="AE275" s="540"/>
      <c r="AF275" s="540"/>
      <c r="AG275" s="540"/>
    </row>
    <row r="276" spans="1:33" s="527" customFormat="1" ht="66">
      <c r="A276" s="531" t="s">
        <v>372</v>
      </c>
      <c r="B276" s="532" t="s">
        <v>897</v>
      </c>
      <c r="C276" s="532" t="s">
        <v>903</v>
      </c>
      <c r="D276" s="532" t="s">
        <v>370</v>
      </c>
      <c r="E276" s="548" t="s">
        <v>904</v>
      </c>
      <c r="F276" s="540"/>
      <c r="G276" s="540"/>
      <c r="H276" s="540"/>
      <c r="I276" s="540"/>
      <c r="J276" s="540"/>
      <c r="K276" s="540"/>
      <c r="L276" s="540"/>
      <c r="M276" s="540"/>
      <c r="N276" s="540"/>
      <c r="O276" s="540"/>
      <c r="P276" s="540"/>
      <c r="Q276" s="540"/>
      <c r="R276" s="540"/>
      <c r="S276" s="540"/>
      <c r="T276" s="540"/>
      <c r="U276" s="540"/>
      <c r="V276" s="540"/>
      <c r="W276" s="540"/>
      <c r="X276" s="540"/>
      <c r="Y276" s="540"/>
      <c r="Z276" s="540"/>
      <c r="AA276" s="540"/>
      <c r="AB276" s="540"/>
      <c r="AC276" s="540"/>
      <c r="AD276" s="540"/>
      <c r="AE276" s="540"/>
      <c r="AF276" s="540"/>
      <c r="AG276" s="540"/>
    </row>
    <row r="277" spans="1:33" s="527" customFormat="1" ht="92.4">
      <c r="A277" s="527" t="s">
        <v>365</v>
      </c>
      <c r="B277" s="514" t="s">
        <v>905</v>
      </c>
      <c r="C277" s="514" t="s">
        <v>771</v>
      </c>
      <c r="D277" s="514" t="s">
        <v>370</v>
      </c>
      <c r="E277" s="547" t="s">
        <v>906</v>
      </c>
      <c r="F277" s="540"/>
      <c r="G277" s="540"/>
      <c r="H277" s="540"/>
      <c r="I277" s="540"/>
      <c r="J277" s="540"/>
      <c r="K277" s="540"/>
      <c r="L277" s="540"/>
      <c r="M277" s="540"/>
      <c r="N277" s="540"/>
      <c r="O277" s="540"/>
      <c r="P277" s="540"/>
      <c r="Q277" s="540"/>
      <c r="R277" s="540"/>
      <c r="S277" s="540"/>
      <c r="T277" s="540"/>
      <c r="U277" s="540"/>
      <c r="V277" s="540"/>
      <c r="W277" s="540"/>
      <c r="X277" s="540"/>
      <c r="Y277" s="540"/>
      <c r="Z277" s="540"/>
      <c r="AA277" s="540"/>
      <c r="AB277" s="540"/>
      <c r="AC277" s="540"/>
      <c r="AD277" s="540"/>
      <c r="AE277" s="540"/>
      <c r="AF277" s="540"/>
      <c r="AG277" s="540"/>
    </row>
    <row r="278" spans="1:33" s="527" customFormat="1" ht="26.4">
      <c r="A278" s="534" t="s">
        <v>372</v>
      </c>
      <c r="B278" s="535" t="s">
        <v>905</v>
      </c>
      <c r="C278" s="535" t="s">
        <v>907</v>
      </c>
      <c r="D278" s="535" t="s">
        <v>370</v>
      </c>
      <c r="E278" s="550" t="s">
        <v>908</v>
      </c>
      <c r="F278" s="540"/>
      <c r="G278" s="540"/>
      <c r="H278" s="540"/>
      <c r="I278" s="540"/>
      <c r="J278" s="540"/>
      <c r="K278" s="540"/>
      <c r="L278" s="540"/>
      <c r="M278" s="540"/>
      <c r="N278" s="540"/>
      <c r="O278" s="540"/>
      <c r="P278" s="540"/>
      <c r="Q278" s="540"/>
      <c r="R278" s="540"/>
      <c r="S278" s="540"/>
      <c r="T278" s="540"/>
      <c r="U278" s="540"/>
      <c r="V278" s="540"/>
      <c r="W278" s="540"/>
      <c r="X278" s="540"/>
      <c r="Y278" s="540"/>
      <c r="Z278" s="540"/>
      <c r="AA278" s="540"/>
      <c r="AB278" s="540"/>
      <c r="AC278" s="540"/>
      <c r="AD278" s="540"/>
      <c r="AE278" s="540"/>
      <c r="AF278" s="540"/>
      <c r="AG278" s="540"/>
    </row>
    <row r="279" spans="1:33" s="527" customFormat="1" ht="66">
      <c r="A279" s="534" t="s">
        <v>372</v>
      </c>
      <c r="B279" s="535" t="s">
        <v>905</v>
      </c>
      <c r="C279" s="535" t="s">
        <v>909</v>
      </c>
      <c r="D279" s="535" t="s">
        <v>370</v>
      </c>
      <c r="E279" s="550" t="s">
        <v>910</v>
      </c>
      <c r="F279" s="540"/>
      <c r="G279" s="540"/>
      <c r="H279" s="540"/>
      <c r="I279" s="540"/>
      <c r="J279" s="540"/>
      <c r="K279" s="540"/>
      <c r="L279" s="540"/>
      <c r="M279" s="540"/>
      <c r="N279" s="540"/>
      <c r="O279" s="540"/>
      <c r="P279" s="540"/>
      <c r="Q279" s="540"/>
      <c r="R279" s="540"/>
      <c r="S279" s="540"/>
      <c r="T279" s="540"/>
      <c r="U279" s="540"/>
      <c r="V279" s="540"/>
      <c r="W279" s="540"/>
      <c r="X279" s="540"/>
      <c r="Y279" s="540"/>
      <c r="Z279" s="540"/>
      <c r="AA279" s="540"/>
      <c r="AB279" s="540"/>
      <c r="AC279" s="540"/>
      <c r="AD279" s="540"/>
      <c r="AE279" s="540"/>
      <c r="AF279" s="540"/>
      <c r="AG279" s="540"/>
    </row>
    <row r="280" spans="1:33" s="527" customFormat="1" ht="66">
      <c r="A280" s="527" t="s">
        <v>365</v>
      </c>
      <c r="B280" s="514" t="s">
        <v>911</v>
      </c>
      <c r="C280" s="514" t="s">
        <v>911</v>
      </c>
      <c r="D280" s="514" t="s">
        <v>760</v>
      </c>
      <c r="E280" s="528" t="s">
        <v>912</v>
      </c>
      <c r="F280" s="540"/>
      <c r="G280" s="540"/>
      <c r="H280" s="540"/>
      <c r="I280" s="540"/>
      <c r="J280" s="540"/>
      <c r="K280" s="540"/>
      <c r="L280" s="540"/>
      <c r="M280" s="540"/>
      <c r="N280" s="540"/>
      <c r="O280" s="540"/>
      <c r="P280" s="540"/>
      <c r="Q280" s="540"/>
      <c r="R280" s="540"/>
      <c r="S280" s="540"/>
      <c r="T280" s="540"/>
      <c r="U280" s="540"/>
      <c r="V280" s="540"/>
      <c r="W280" s="540"/>
      <c r="X280" s="540"/>
      <c r="Y280" s="540"/>
      <c r="Z280" s="540"/>
      <c r="AA280" s="540"/>
      <c r="AB280" s="540"/>
      <c r="AC280" s="540"/>
      <c r="AD280" s="540"/>
      <c r="AE280" s="540"/>
      <c r="AF280" s="540"/>
      <c r="AG280" s="540"/>
    </row>
    <row r="281" spans="1:33" s="527" customFormat="1" ht="118.8">
      <c r="A281" s="531" t="s">
        <v>372</v>
      </c>
      <c r="B281" s="532" t="s">
        <v>911</v>
      </c>
      <c r="C281" s="532" t="s">
        <v>913</v>
      </c>
      <c r="D281" s="532" t="s">
        <v>760</v>
      </c>
      <c r="E281" s="532" t="s">
        <v>914</v>
      </c>
      <c r="F281" s="540"/>
      <c r="G281" s="540"/>
      <c r="H281" s="540"/>
      <c r="I281" s="540"/>
      <c r="J281" s="540"/>
      <c r="K281" s="540"/>
      <c r="L281" s="540"/>
      <c r="M281" s="540"/>
      <c r="N281" s="540"/>
      <c r="O281" s="540"/>
      <c r="P281" s="540"/>
      <c r="Q281" s="540"/>
      <c r="R281" s="540"/>
      <c r="S281" s="540"/>
      <c r="T281" s="540"/>
      <c r="U281" s="540"/>
      <c r="V281" s="540"/>
      <c r="W281" s="540"/>
      <c r="X281" s="540"/>
      <c r="Y281" s="540"/>
      <c r="Z281" s="540"/>
      <c r="AA281" s="540"/>
      <c r="AB281" s="540"/>
      <c r="AC281" s="540"/>
      <c r="AD281" s="540"/>
      <c r="AE281" s="540"/>
      <c r="AF281" s="540"/>
      <c r="AG281" s="540"/>
    </row>
    <row r="282" spans="1:33" s="527" customFormat="1" ht="79.2">
      <c r="A282" s="531" t="s">
        <v>372</v>
      </c>
      <c r="B282" s="532" t="s">
        <v>911</v>
      </c>
      <c r="C282" s="532" t="s">
        <v>915</v>
      </c>
      <c r="D282" s="532" t="s">
        <v>760</v>
      </c>
      <c r="E282" s="544" t="s">
        <v>916</v>
      </c>
      <c r="F282" s="540"/>
      <c r="G282" s="540"/>
      <c r="H282" s="540"/>
      <c r="I282" s="540"/>
      <c r="J282" s="540"/>
      <c r="K282" s="540"/>
      <c r="L282" s="540"/>
      <c r="M282" s="540"/>
      <c r="N282" s="540"/>
      <c r="O282" s="540"/>
      <c r="P282" s="540"/>
      <c r="Q282" s="540"/>
      <c r="R282" s="540"/>
      <c r="S282" s="540"/>
      <c r="T282" s="540"/>
      <c r="U282" s="540"/>
      <c r="V282" s="540"/>
      <c r="W282" s="540"/>
      <c r="X282" s="540"/>
      <c r="Y282" s="540"/>
      <c r="Z282" s="540"/>
      <c r="AA282" s="540"/>
      <c r="AB282" s="540"/>
      <c r="AC282" s="540"/>
      <c r="AD282" s="540"/>
      <c r="AE282" s="540"/>
      <c r="AF282" s="540"/>
      <c r="AG282" s="540"/>
    </row>
    <row r="283" spans="1:33" s="527" customFormat="1" ht="26.4">
      <c r="A283" s="531" t="s">
        <v>372</v>
      </c>
      <c r="B283" s="532" t="s">
        <v>911</v>
      </c>
      <c r="C283" s="532" t="s">
        <v>917</v>
      </c>
      <c r="D283" s="532" t="s">
        <v>760</v>
      </c>
      <c r="E283" s="544" t="s">
        <v>918</v>
      </c>
      <c r="F283" s="540"/>
      <c r="G283" s="540"/>
      <c r="H283" s="540"/>
      <c r="I283" s="540"/>
      <c r="J283" s="540"/>
      <c r="K283" s="540"/>
      <c r="L283" s="540"/>
      <c r="M283" s="540"/>
      <c r="N283" s="540"/>
      <c r="O283" s="540"/>
      <c r="P283" s="540"/>
      <c r="Q283" s="540"/>
      <c r="R283" s="540"/>
      <c r="S283" s="540"/>
      <c r="T283" s="540"/>
      <c r="U283" s="540"/>
      <c r="V283" s="540"/>
      <c r="W283" s="540"/>
      <c r="X283" s="540"/>
      <c r="Y283" s="540"/>
      <c r="Z283" s="540"/>
      <c r="AA283" s="540"/>
      <c r="AB283" s="540"/>
      <c r="AC283" s="540"/>
      <c r="AD283" s="540"/>
      <c r="AE283" s="540"/>
      <c r="AF283" s="540"/>
      <c r="AG283" s="540"/>
    </row>
    <row r="284" spans="1:33" s="527" customFormat="1" ht="145.19999999999999">
      <c r="A284" s="531" t="s">
        <v>372</v>
      </c>
      <c r="B284" s="532" t="s">
        <v>911</v>
      </c>
      <c r="C284" s="532" t="s">
        <v>919</v>
      </c>
      <c r="D284" s="532" t="s">
        <v>760</v>
      </c>
      <c r="E284" s="532" t="s">
        <v>781</v>
      </c>
      <c r="F284" s="540"/>
      <c r="G284" s="540"/>
      <c r="H284" s="540"/>
      <c r="I284" s="540"/>
      <c r="J284" s="540"/>
      <c r="K284" s="540"/>
      <c r="L284" s="540"/>
      <c r="M284" s="540"/>
      <c r="N284" s="540"/>
      <c r="O284" s="540"/>
      <c r="P284" s="540"/>
      <c r="Q284" s="540"/>
      <c r="R284" s="540"/>
      <c r="S284" s="540"/>
      <c r="T284" s="540"/>
      <c r="U284" s="540"/>
      <c r="V284" s="540"/>
      <c r="W284" s="540"/>
      <c r="X284" s="540"/>
      <c r="Y284" s="540"/>
      <c r="Z284" s="540"/>
      <c r="AA284" s="540"/>
      <c r="AB284" s="540"/>
      <c r="AC284" s="540"/>
      <c r="AD284" s="540"/>
      <c r="AE284" s="540"/>
      <c r="AF284" s="540"/>
      <c r="AG284" s="540"/>
    </row>
    <row r="285" spans="1:33" s="527" customFormat="1" ht="39.6">
      <c r="A285" s="531" t="s">
        <v>372</v>
      </c>
      <c r="B285" s="532" t="s">
        <v>911</v>
      </c>
      <c r="C285" s="532" t="s">
        <v>920</v>
      </c>
      <c r="D285" s="532" t="s">
        <v>760</v>
      </c>
      <c r="E285" s="532" t="s">
        <v>921</v>
      </c>
      <c r="F285" s="540"/>
      <c r="G285" s="540"/>
      <c r="H285" s="540"/>
      <c r="I285" s="540"/>
      <c r="J285" s="540"/>
      <c r="K285" s="540"/>
      <c r="L285" s="540"/>
      <c r="M285" s="540"/>
      <c r="N285" s="540"/>
      <c r="O285" s="540"/>
      <c r="P285" s="540"/>
      <c r="Q285" s="540"/>
      <c r="R285" s="540"/>
      <c r="S285" s="540"/>
      <c r="T285" s="540"/>
      <c r="U285" s="540"/>
      <c r="V285" s="540"/>
      <c r="W285" s="540"/>
      <c r="X285" s="540"/>
      <c r="Y285" s="540"/>
      <c r="Z285" s="540"/>
      <c r="AA285" s="540"/>
      <c r="AB285" s="540"/>
      <c r="AC285" s="540"/>
      <c r="AD285" s="540"/>
      <c r="AE285" s="540"/>
      <c r="AF285" s="540"/>
      <c r="AG285" s="540"/>
    </row>
    <row r="286" spans="1:33" s="527" customFormat="1" ht="26.4">
      <c r="A286" s="531" t="s">
        <v>372</v>
      </c>
      <c r="B286" s="532" t="s">
        <v>911</v>
      </c>
      <c r="C286" s="532" t="s">
        <v>922</v>
      </c>
      <c r="D286" s="532" t="s">
        <v>760</v>
      </c>
      <c r="E286" s="532" t="s">
        <v>923</v>
      </c>
      <c r="F286" s="540"/>
      <c r="G286" s="540"/>
      <c r="H286" s="540"/>
      <c r="I286" s="540"/>
      <c r="J286" s="540"/>
      <c r="K286" s="540"/>
      <c r="L286" s="540"/>
      <c r="M286" s="540"/>
      <c r="N286" s="540"/>
      <c r="O286" s="540"/>
      <c r="P286" s="540"/>
      <c r="Q286" s="540"/>
      <c r="R286" s="540"/>
      <c r="S286" s="540"/>
      <c r="T286" s="540"/>
      <c r="U286" s="540"/>
      <c r="V286" s="540"/>
      <c r="W286" s="540"/>
      <c r="X286" s="540"/>
      <c r="Y286" s="540"/>
      <c r="Z286" s="540"/>
      <c r="AA286" s="540"/>
      <c r="AB286" s="540"/>
      <c r="AC286" s="540"/>
      <c r="AD286" s="540"/>
      <c r="AE286" s="540"/>
      <c r="AF286" s="540"/>
      <c r="AG286" s="540"/>
    </row>
    <row r="287" spans="1:33" s="527" customFormat="1" ht="39.6">
      <c r="A287" s="531" t="s">
        <v>372</v>
      </c>
      <c r="B287" s="532" t="s">
        <v>911</v>
      </c>
      <c r="C287" s="532" t="s">
        <v>924</v>
      </c>
      <c r="D287" s="532" t="s">
        <v>760</v>
      </c>
      <c r="E287" s="532" t="s">
        <v>925</v>
      </c>
      <c r="F287" s="540"/>
      <c r="G287" s="540"/>
      <c r="H287" s="540"/>
      <c r="I287" s="540"/>
      <c r="J287" s="540"/>
      <c r="K287" s="540"/>
      <c r="L287" s="540"/>
      <c r="M287" s="540"/>
      <c r="N287" s="540"/>
      <c r="O287" s="540"/>
      <c r="P287" s="540"/>
      <c r="Q287" s="540"/>
      <c r="R287" s="540"/>
      <c r="S287" s="540"/>
      <c r="T287" s="540"/>
      <c r="U287" s="540"/>
      <c r="V287" s="540"/>
      <c r="W287" s="540"/>
      <c r="X287" s="540"/>
      <c r="Y287" s="540"/>
      <c r="Z287" s="540"/>
      <c r="AA287" s="540"/>
      <c r="AB287" s="540"/>
      <c r="AC287" s="540"/>
      <c r="AD287" s="540"/>
      <c r="AE287" s="540"/>
      <c r="AF287" s="540"/>
      <c r="AG287" s="540"/>
    </row>
    <row r="288" spans="1:33" ht="105.6">
      <c r="A288" s="527" t="s">
        <v>365</v>
      </c>
      <c r="B288" s="543" t="s">
        <v>926</v>
      </c>
      <c r="C288" s="543" t="s">
        <v>926</v>
      </c>
      <c r="D288" s="543" t="s">
        <v>536</v>
      </c>
      <c r="E288" s="528" t="s">
        <v>927</v>
      </c>
    </row>
    <row r="289" spans="1:33">
      <c r="A289" s="531" t="s">
        <v>372</v>
      </c>
      <c r="B289" s="532" t="s">
        <v>926</v>
      </c>
      <c r="C289" s="532" t="s">
        <v>928</v>
      </c>
      <c r="D289" s="532" t="s">
        <v>536</v>
      </c>
      <c r="E289" s="542" t="s">
        <v>929</v>
      </c>
    </row>
    <row r="290" spans="1:33" ht="26.4">
      <c r="A290" s="531" t="s">
        <v>372</v>
      </c>
      <c r="B290" s="532" t="s">
        <v>926</v>
      </c>
      <c r="C290" s="532" t="s">
        <v>930</v>
      </c>
      <c r="D290" s="532" t="s">
        <v>536</v>
      </c>
      <c r="E290" s="532" t="s">
        <v>543</v>
      </c>
    </row>
    <row r="291" spans="1:33" ht="26.4">
      <c r="A291" s="531" t="s">
        <v>372</v>
      </c>
      <c r="B291" s="532" t="s">
        <v>926</v>
      </c>
      <c r="C291" s="532" t="s">
        <v>931</v>
      </c>
      <c r="D291" s="532" t="s">
        <v>536</v>
      </c>
      <c r="E291" s="532" t="s">
        <v>932</v>
      </c>
    </row>
    <row r="292" spans="1:33" ht="52.8">
      <c r="A292" s="531" t="s">
        <v>372</v>
      </c>
      <c r="B292" s="532" t="s">
        <v>926</v>
      </c>
      <c r="C292" s="532" t="s">
        <v>933</v>
      </c>
      <c r="D292" s="532" t="s">
        <v>536</v>
      </c>
      <c r="E292" s="532" t="s">
        <v>549</v>
      </c>
    </row>
    <row r="293" spans="1:33" ht="39.6">
      <c r="A293" s="531" t="s">
        <v>372</v>
      </c>
      <c r="B293" s="532" t="s">
        <v>926</v>
      </c>
      <c r="C293" s="532" t="s">
        <v>934</v>
      </c>
      <c r="D293" s="532" t="s">
        <v>536</v>
      </c>
      <c r="E293" s="532" t="s">
        <v>935</v>
      </c>
    </row>
    <row r="294" spans="1:33" ht="26.4">
      <c r="A294" s="531" t="s">
        <v>372</v>
      </c>
      <c r="B294" s="532" t="s">
        <v>926</v>
      </c>
      <c r="C294" s="532" t="s">
        <v>936</v>
      </c>
      <c r="D294" s="532" t="s">
        <v>536</v>
      </c>
      <c r="E294" s="532" t="s">
        <v>553</v>
      </c>
    </row>
    <row r="295" spans="1:33" ht="26.4">
      <c r="A295" s="531" t="s">
        <v>372</v>
      </c>
      <c r="B295" s="532" t="s">
        <v>926</v>
      </c>
      <c r="C295" s="532" t="s">
        <v>937</v>
      </c>
      <c r="D295" s="532" t="s">
        <v>536</v>
      </c>
      <c r="E295" s="532" t="s">
        <v>938</v>
      </c>
    </row>
    <row r="296" spans="1:33" ht="26.4">
      <c r="A296" s="531" t="s">
        <v>372</v>
      </c>
      <c r="B296" s="532" t="s">
        <v>926</v>
      </c>
      <c r="C296" s="532" t="s">
        <v>939</v>
      </c>
      <c r="D296" s="532" t="s">
        <v>536</v>
      </c>
      <c r="E296" s="532" t="s">
        <v>940</v>
      </c>
    </row>
    <row r="297" spans="1:33" s="533" customFormat="1" ht="26.4">
      <c r="A297" s="531" t="s">
        <v>372</v>
      </c>
      <c r="B297" s="532" t="s">
        <v>926</v>
      </c>
      <c r="C297" s="532" t="s">
        <v>941</v>
      </c>
      <c r="D297" s="532" t="s">
        <v>536</v>
      </c>
      <c r="E297" s="532" t="s">
        <v>559</v>
      </c>
      <c r="F297" s="529"/>
      <c r="G297" s="529"/>
      <c r="H297" s="529"/>
      <c r="I297" s="529"/>
      <c r="J297" s="529"/>
      <c r="K297" s="529"/>
      <c r="L297" s="529"/>
      <c r="M297" s="529"/>
      <c r="N297" s="529"/>
      <c r="O297" s="529"/>
      <c r="P297" s="529"/>
      <c r="Q297" s="529"/>
      <c r="R297" s="529"/>
      <c r="S297" s="529"/>
      <c r="T297" s="529"/>
      <c r="U297" s="529"/>
      <c r="V297" s="529"/>
      <c r="W297" s="529"/>
      <c r="X297" s="529"/>
      <c r="Y297" s="529"/>
      <c r="Z297" s="529"/>
      <c r="AA297" s="529"/>
      <c r="AB297" s="529"/>
      <c r="AC297" s="529"/>
      <c r="AD297" s="529"/>
      <c r="AE297" s="529"/>
      <c r="AF297" s="529"/>
      <c r="AG297" s="529"/>
    </row>
    <row r="298" spans="1:33" ht="52.8">
      <c r="A298" s="531" t="s">
        <v>372</v>
      </c>
      <c r="B298" s="532" t="s">
        <v>926</v>
      </c>
      <c r="C298" s="532" t="s">
        <v>942</v>
      </c>
      <c r="D298" s="532" t="s">
        <v>536</v>
      </c>
      <c r="E298" s="532" t="s">
        <v>943</v>
      </c>
    </row>
    <row r="299" spans="1:33" ht="26.4">
      <c r="A299" s="531" t="s">
        <v>372</v>
      </c>
      <c r="B299" s="532" t="s">
        <v>926</v>
      </c>
      <c r="C299" s="532" t="s">
        <v>944</v>
      </c>
      <c r="D299" s="532" t="s">
        <v>536</v>
      </c>
      <c r="E299" s="532" t="s">
        <v>945</v>
      </c>
    </row>
    <row r="300" spans="1:33" ht="26.4">
      <c r="A300" s="537" t="s">
        <v>365</v>
      </c>
      <c r="B300" s="538" t="s">
        <v>946</v>
      </c>
      <c r="C300" s="538" t="s">
        <v>946</v>
      </c>
      <c r="D300" s="538" t="s">
        <v>519</v>
      </c>
      <c r="E300" s="538" t="s">
        <v>947</v>
      </c>
    </row>
    <row r="301" spans="1:33" s="533" customFormat="1" ht="39.6">
      <c r="A301" s="537" t="s">
        <v>365</v>
      </c>
      <c r="B301" s="538" t="s">
        <v>948</v>
      </c>
      <c r="C301" s="538" t="s">
        <v>948</v>
      </c>
      <c r="D301" s="538" t="s">
        <v>519</v>
      </c>
      <c r="E301" s="538" t="s">
        <v>949</v>
      </c>
      <c r="F301" s="529"/>
      <c r="G301" s="529"/>
      <c r="H301" s="529"/>
      <c r="I301" s="529"/>
      <c r="J301" s="529"/>
      <c r="K301" s="529"/>
      <c r="L301" s="529"/>
      <c r="M301" s="529"/>
      <c r="N301" s="529"/>
      <c r="O301" s="529"/>
      <c r="P301" s="529"/>
      <c r="Q301" s="529"/>
      <c r="R301" s="529"/>
      <c r="S301" s="529"/>
      <c r="T301" s="529"/>
      <c r="U301" s="529"/>
      <c r="V301" s="529"/>
      <c r="W301" s="529"/>
      <c r="X301" s="529"/>
      <c r="Y301" s="529"/>
      <c r="Z301" s="529"/>
      <c r="AA301" s="529"/>
      <c r="AB301" s="529"/>
      <c r="AC301" s="529"/>
      <c r="AD301" s="529"/>
      <c r="AE301" s="529"/>
      <c r="AF301" s="529"/>
      <c r="AG301" s="529"/>
    </row>
    <row r="302" spans="1:33" ht="79.2">
      <c r="A302" s="540" t="s">
        <v>365</v>
      </c>
      <c r="B302" s="513" t="s">
        <v>950</v>
      </c>
      <c r="C302" s="513" t="s">
        <v>951</v>
      </c>
      <c r="D302" s="513" t="s">
        <v>519</v>
      </c>
      <c r="E302" s="539" t="s">
        <v>520</v>
      </c>
    </row>
    <row r="303" spans="1:33">
      <c r="A303" s="551" t="s">
        <v>365</v>
      </c>
      <c r="B303" s="552" t="s">
        <v>952</v>
      </c>
      <c r="C303" s="552" t="s">
        <v>952</v>
      </c>
      <c r="D303" s="552" t="s">
        <v>953</v>
      </c>
      <c r="E303" s="552" t="s">
        <v>954</v>
      </c>
    </row>
    <row r="304" spans="1:33">
      <c r="A304" s="551" t="s">
        <v>365</v>
      </c>
      <c r="B304" s="552" t="s">
        <v>955</v>
      </c>
      <c r="C304" s="552" t="s">
        <v>955</v>
      </c>
      <c r="D304" s="552" t="s">
        <v>370</v>
      </c>
      <c r="E304" s="552" t="s">
        <v>954</v>
      </c>
    </row>
    <row r="305" spans="1:33" ht="79.2">
      <c r="A305" s="540" t="s">
        <v>365</v>
      </c>
      <c r="B305" s="513" t="s">
        <v>956</v>
      </c>
      <c r="C305" s="513" t="s">
        <v>367</v>
      </c>
      <c r="D305" s="513" t="s">
        <v>367</v>
      </c>
      <c r="E305" s="513" t="s">
        <v>957</v>
      </c>
    </row>
    <row r="306" spans="1:33" ht="52.8">
      <c r="A306" s="540" t="s">
        <v>365</v>
      </c>
      <c r="B306" s="513" t="s">
        <v>958</v>
      </c>
      <c r="C306" s="513" t="s">
        <v>771</v>
      </c>
      <c r="D306" s="513" t="s">
        <v>370</v>
      </c>
      <c r="E306" s="513" t="s">
        <v>959</v>
      </c>
    </row>
    <row r="307" spans="1:33" ht="91.5" customHeight="1">
      <c r="A307" s="531" t="s">
        <v>372</v>
      </c>
      <c r="B307" s="532" t="s">
        <v>958</v>
      </c>
      <c r="C307" s="532" t="s">
        <v>960</v>
      </c>
      <c r="D307" s="532" t="s">
        <v>370</v>
      </c>
      <c r="E307" s="532" t="s">
        <v>961</v>
      </c>
    </row>
    <row r="308" spans="1:33" ht="39.6">
      <c r="A308" s="531" t="s">
        <v>372</v>
      </c>
      <c r="B308" s="532" t="s">
        <v>958</v>
      </c>
      <c r="C308" s="532" t="s">
        <v>962</v>
      </c>
      <c r="D308" s="532" t="s">
        <v>370</v>
      </c>
      <c r="E308" s="532" t="s">
        <v>963</v>
      </c>
    </row>
    <row r="309" spans="1:33" ht="105.6">
      <c r="A309" s="531" t="s">
        <v>372</v>
      </c>
      <c r="B309" s="532" t="s">
        <v>958</v>
      </c>
      <c r="C309" s="532" t="s">
        <v>964</v>
      </c>
      <c r="D309" s="532" t="s">
        <v>370</v>
      </c>
      <c r="E309" s="532" t="s">
        <v>965</v>
      </c>
    </row>
    <row r="310" spans="1:33" ht="52.8">
      <c r="A310" s="531" t="s">
        <v>372</v>
      </c>
      <c r="B310" s="532" t="s">
        <v>958</v>
      </c>
      <c r="C310" s="532" t="s">
        <v>966</v>
      </c>
      <c r="D310" s="532" t="s">
        <v>370</v>
      </c>
      <c r="E310" s="532" t="s">
        <v>967</v>
      </c>
    </row>
    <row r="311" spans="1:33" s="533" customFormat="1" ht="66">
      <c r="A311" s="531" t="s">
        <v>372</v>
      </c>
      <c r="B311" s="532" t="s">
        <v>958</v>
      </c>
      <c r="C311" s="532" t="s">
        <v>968</v>
      </c>
      <c r="D311" s="532" t="s">
        <v>370</v>
      </c>
      <c r="E311" s="532" t="s">
        <v>969</v>
      </c>
      <c r="F311" s="529"/>
      <c r="G311" s="529"/>
      <c r="H311" s="529"/>
      <c r="I311" s="529"/>
      <c r="J311" s="529"/>
      <c r="K311" s="529"/>
      <c r="L311" s="529"/>
      <c r="M311" s="529"/>
      <c r="N311" s="529"/>
      <c r="O311" s="529"/>
      <c r="P311" s="529"/>
      <c r="Q311" s="529"/>
      <c r="R311" s="529"/>
      <c r="S311" s="529"/>
      <c r="T311" s="529"/>
      <c r="U311" s="529"/>
      <c r="V311" s="529"/>
      <c r="W311" s="529"/>
      <c r="X311" s="529"/>
      <c r="Y311" s="529"/>
      <c r="Z311" s="529"/>
      <c r="AA311" s="529"/>
      <c r="AB311" s="529"/>
      <c r="AC311" s="529"/>
      <c r="AD311" s="529"/>
      <c r="AE311" s="529"/>
      <c r="AF311" s="529"/>
      <c r="AG311" s="529"/>
    </row>
    <row r="312" spans="1:33" ht="79.2">
      <c r="A312" s="531" t="s">
        <v>372</v>
      </c>
      <c r="B312" s="532" t="s">
        <v>958</v>
      </c>
      <c r="C312" s="532" t="s">
        <v>970</v>
      </c>
      <c r="D312" s="532" t="s">
        <v>370</v>
      </c>
      <c r="E312" s="532" t="s">
        <v>971</v>
      </c>
    </row>
    <row r="313" spans="1:33" ht="39.6">
      <c r="A313" s="540" t="s">
        <v>365</v>
      </c>
      <c r="B313" s="513" t="s">
        <v>972</v>
      </c>
      <c r="C313" s="513" t="s">
        <v>771</v>
      </c>
      <c r="D313" s="513" t="s">
        <v>370</v>
      </c>
      <c r="E313" s="513" t="s">
        <v>973</v>
      </c>
    </row>
    <row r="314" spans="1:33" ht="52.8">
      <c r="A314" s="531" t="s">
        <v>372</v>
      </c>
      <c r="B314" s="532" t="s">
        <v>972</v>
      </c>
      <c r="C314" s="532" t="s">
        <v>974</v>
      </c>
      <c r="D314" s="532" t="s">
        <v>370</v>
      </c>
      <c r="E314" s="532" t="s">
        <v>975</v>
      </c>
    </row>
    <row r="315" spans="1:33" ht="105.6">
      <c r="A315" s="531" t="s">
        <v>372</v>
      </c>
      <c r="B315" s="532" t="s">
        <v>972</v>
      </c>
      <c r="C315" s="532" t="s">
        <v>976</v>
      </c>
      <c r="D315" s="532" t="s">
        <v>370</v>
      </c>
      <c r="E315" s="532" t="s">
        <v>977</v>
      </c>
    </row>
    <row r="316" spans="1:33" ht="52.8">
      <c r="A316" s="531" t="s">
        <v>372</v>
      </c>
      <c r="B316" s="532" t="s">
        <v>972</v>
      </c>
      <c r="C316" s="532" t="s">
        <v>978</v>
      </c>
      <c r="D316" s="532" t="s">
        <v>370</v>
      </c>
      <c r="E316" s="532" t="s">
        <v>979</v>
      </c>
    </row>
    <row r="317" spans="1:33" ht="66">
      <c r="A317" s="531" t="s">
        <v>372</v>
      </c>
      <c r="B317" s="532" t="s">
        <v>972</v>
      </c>
      <c r="C317" s="532" t="s">
        <v>980</v>
      </c>
      <c r="D317" s="532" t="s">
        <v>370</v>
      </c>
      <c r="E317" s="532" t="s">
        <v>981</v>
      </c>
    </row>
    <row r="318" spans="1:33" ht="66">
      <c r="A318" s="531" t="s">
        <v>372</v>
      </c>
      <c r="B318" s="532" t="s">
        <v>972</v>
      </c>
      <c r="C318" s="532" t="s">
        <v>982</v>
      </c>
      <c r="D318" s="532" t="s">
        <v>370</v>
      </c>
      <c r="E318" s="532" t="s">
        <v>983</v>
      </c>
    </row>
    <row r="319" spans="1:33" ht="92.4">
      <c r="A319" s="540" t="s">
        <v>365</v>
      </c>
      <c r="B319" s="513" t="s">
        <v>984</v>
      </c>
      <c r="C319" s="513" t="s">
        <v>985</v>
      </c>
      <c r="D319" s="513" t="s">
        <v>760</v>
      </c>
      <c r="E319" s="513" t="s">
        <v>986</v>
      </c>
    </row>
    <row r="320" spans="1:33" s="529" customFormat="1" ht="66">
      <c r="A320" s="540" t="s">
        <v>365</v>
      </c>
      <c r="B320" s="513" t="s">
        <v>987</v>
      </c>
      <c r="C320" s="513" t="s">
        <v>367</v>
      </c>
      <c r="D320" s="513" t="s">
        <v>457</v>
      </c>
      <c r="E320" s="513" t="s">
        <v>988</v>
      </c>
    </row>
    <row r="321" spans="1:33" s="529" customFormat="1" ht="118.8">
      <c r="A321" s="540" t="s">
        <v>365</v>
      </c>
      <c r="B321" s="513" t="s">
        <v>989</v>
      </c>
      <c r="C321" s="513" t="s">
        <v>367</v>
      </c>
      <c r="D321" s="513" t="s">
        <v>536</v>
      </c>
      <c r="E321" s="513" t="s">
        <v>990</v>
      </c>
    </row>
    <row r="322" spans="1:33" s="529" customFormat="1" ht="118.8">
      <c r="A322" s="540" t="s">
        <v>365</v>
      </c>
      <c r="B322" s="513" t="s">
        <v>991</v>
      </c>
      <c r="C322" s="513" t="s">
        <v>367</v>
      </c>
      <c r="D322" s="513" t="s">
        <v>457</v>
      </c>
      <c r="E322" s="513" t="s">
        <v>992</v>
      </c>
    </row>
    <row r="323" spans="1:33" s="529" customFormat="1" ht="79.2">
      <c r="A323" s="540" t="s">
        <v>365</v>
      </c>
      <c r="B323" s="513" t="s">
        <v>993</v>
      </c>
      <c r="C323" s="513" t="s">
        <v>367</v>
      </c>
      <c r="D323" s="513" t="s">
        <v>760</v>
      </c>
      <c r="E323" s="513" t="s">
        <v>994</v>
      </c>
    </row>
    <row r="324" spans="1:33" s="529" customFormat="1">
      <c r="A324" s="527" t="s">
        <v>365</v>
      </c>
      <c r="B324" s="514" t="s">
        <v>995</v>
      </c>
      <c r="C324" s="514" t="s">
        <v>995</v>
      </c>
      <c r="D324" s="514" t="s">
        <v>996</v>
      </c>
      <c r="E324" s="514"/>
    </row>
    <row r="325" spans="1:33" s="529" customFormat="1">
      <c r="A325" s="531" t="s">
        <v>372</v>
      </c>
      <c r="B325" s="532" t="s">
        <v>995</v>
      </c>
      <c r="C325" s="532" t="s">
        <v>997</v>
      </c>
      <c r="D325" s="532" t="s">
        <v>996</v>
      </c>
      <c r="E325" s="532"/>
    </row>
    <row r="326" spans="1:33" s="529" customFormat="1">
      <c r="A326" s="531" t="s">
        <v>372</v>
      </c>
      <c r="B326" s="532" t="s">
        <v>995</v>
      </c>
      <c r="C326" s="532" t="s">
        <v>998</v>
      </c>
      <c r="D326" s="532" t="s">
        <v>996</v>
      </c>
      <c r="E326" s="532"/>
    </row>
    <row r="327" spans="1:33" s="529" customFormat="1">
      <c r="A327" s="531" t="s">
        <v>372</v>
      </c>
      <c r="B327" s="532" t="s">
        <v>995</v>
      </c>
      <c r="C327" s="532" t="s">
        <v>999</v>
      </c>
      <c r="D327" s="532" t="s">
        <v>996</v>
      </c>
      <c r="E327" s="532"/>
    </row>
    <row r="328" spans="1:33" s="529" customFormat="1">
      <c r="A328" s="531" t="s">
        <v>372</v>
      </c>
      <c r="B328" s="532" t="s">
        <v>995</v>
      </c>
      <c r="C328" s="532" t="s">
        <v>1000</v>
      </c>
      <c r="D328" s="532" t="s">
        <v>996</v>
      </c>
      <c r="E328" s="532"/>
    </row>
    <row r="329" spans="1:33" s="529" customFormat="1">
      <c r="A329" s="531" t="s">
        <v>372</v>
      </c>
      <c r="B329" s="532" t="s">
        <v>995</v>
      </c>
      <c r="C329" s="532" t="s">
        <v>1001</v>
      </c>
      <c r="D329" s="532" t="s">
        <v>996</v>
      </c>
      <c r="E329" s="532"/>
    </row>
    <row r="330" spans="1:33" s="529" customFormat="1">
      <c r="A330" s="531" t="s">
        <v>372</v>
      </c>
      <c r="B330" s="532" t="s">
        <v>995</v>
      </c>
      <c r="C330" s="532" t="s">
        <v>1002</v>
      </c>
      <c r="D330" s="532" t="s">
        <v>996</v>
      </c>
      <c r="E330" s="532"/>
    </row>
    <row r="331" spans="1:33" s="529" customFormat="1">
      <c r="A331" s="527" t="s">
        <v>365</v>
      </c>
      <c r="B331" s="514" t="s">
        <v>1003</v>
      </c>
      <c r="C331" s="514" t="s">
        <v>1003</v>
      </c>
      <c r="D331" s="514" t="s">
        <v>370</v>
      </c>
      <c r="E331" s="514"/>
    </row>
    <row r="332" spans="1:33" s="529" customFormat="1">
      <c r="A332" s="531" t="s">
        <v>372</v>
      </c>
      <c r="B332" s="532" t="s">
        <v>1003</v>
      </c>
      <c r="C332" s="532" t="s">
        <v>1004</v>
      </c>
      <c r="D332" s="532" t="s">
        <v>370</v>
      </c>
      <c r="E332" s="532"/>
    </row>
    <row r="333" spans="1:33" s="529" customFormat="1">
      <c r="A333" s="531" t="s">
        <v>372</v>
      </c>
      <c r="B333" s="532" t="s">
        <v>1003</v>
      </c>
      <c r="C333" s="532" t="s">
        <v>1005</v>
      </c>
      <c r="D333" s="532" t="s">
        <v>370</v>
      </c>
      <c r="E333" s="532"/>
    </row>
    <row r="334" spans="1:33" s="527" customFormat="1">
      <c r="A334" s="531" t="s">
        <v>372</v>
      </c>
      <c r="B334" s="532" t="s">
        <v>1003</v>
      </c>
      <c r="C334" s="532" t="s">
        <v>1006</v>
      </c>
      <c r="D334" s="532" t="s">
        <v>370</v>
      </c>
      <c r="E334" s="532"/>
      <c r="F334" s="540"/>
      <c r="G334" s="540"/>
      <c r="H334" s="540"/>
      <c r="I334" s="540"/>
      <c r="J334" s="540"/>
      <c r="K334" s="540"/>
      <c r="L334" s="540"/>
      <c r="M334" s="540"/>
      <c r="N334" s="540"/>
      <c r="O334" s="540"/>
      <c r="P334" s="540"/>
      <c r="Q334" s="540"/>
      <c r="R334" s="540"/>
      <c r="S334" s="540"/>
      <c r="T334" s="540"/>
      <c r="U334" s="540"/>
      <c r="V334" s="540"/>
      <c r="W334" s="540"/>
      <c r="X334" s="540"/>
      <c r="Y334" s="540"/>
      <c r="Z334" s="540"/>
      <c r="AA334" s="540"/>
      <c r="AB334" s="540"/>
      <c r="AC334" s="540"/>
      <c r="AD334" s="540"/>
      <c r="AE334" s="540"/>
      <c r="AF334" s="540"/>
      <c r="AG334" s="540"/>
    </row>
    <row r="335" spans="1:33" s="527" customFormat="1">
      <c r="A335" s="531" t="s">
        <v>372</v>
      </c>
      <c r="B335" s="532" t="s">
        <v>1003</v>
      </c>
      <c r="C335" s="532" t="s">
        <v>1007</v>
      </c>
      <c r="D335" s="532" t="s">
        <v>370</v>
      </c>
      <c r="E335" s="532"/>
      <c r="F335" s="540"/>
      <c r="G335" s="540"/>
      <c r="H335" s="540"/>
      <c r="I335" s="540"/>
      <c r="J335" s="540"/>
      <c r="K335" s="540"/>
      <c r="L335" s="540"/>
      <c r="M335" s="540"/>
      <c r="N335" s="540"/>
      <c r="O335" s="540"/>
      <c r="P335" s="540"/>
      <c r="Q335" s="540"/>
      <c r="R335" s="540"/>
      <c r="S335" s="540"/>
      <c r="T335" s="540"/>
      <c r="U335" s="540"/>
      <c r="V335" s="540"/>
      <c r="W335" s="540"/>
      <c r="X335" s="540"/>
      <c r="Y335" s="540"/>
      <c r="Z335" s="540"/>
      <c r="AA335" s="540"/>
      <c r="AB335" s="540"/>
      <c r="AC335" s="540"/>
      <c r="AD335" s="540"/>
      <c r="AE335" s="540"/>
      <c r="AF335" s="540"/>
      <c r="AG335" s="540"/>
    </row>
    <row r="336" spans="1:33" s="527" customFormat="1">
      <c r="A336" s="531" t="s">
        <v>372</v>
      </c>
      <c r="B336" s="532" t="s">
        <v>1003</v>
      </c>
      <c r="C336" s="532" t="s">
        <v>1008</v>
      </c>
      <c r="D336" s="532" t="s">
        <v>370</v>
      </c>
      <c r="E336" s="532"/>
      <c r="F336" s="540"/>
      <c r="G336" s="540"/>
      <c r="H336" s="540"/>
      <c r="I336" s="540"/>
      <c r="J336" s="540"/>
      <c r="K336" s="540"/>
      <c r="L336" s="540"/>
      <c r="M336" s="540"/>
      <c r="N336" s="540"/>
      <c r="O336" s="540"/>
      <c r="P336" s="540"/>
      <c r="Q336" s="540"/>
      <c r="R336" s="540"/>
      <c r="S336" s="540"/>
      <c r="T336" s="540"/>
      <c r="U336" s="540"/>
      <c r="V336" s="540"/>
      <c r="W336" s="540"/>
      <c r="X336" s="540"/>
      <c r="Y336" s="540"/>
      <c r="Z336" s="540"/>
      <c r="AA336" s="540"/>
      <c r="AB336" s="540"/>
      <c r="AC336" s="540"/>
      <c r="AD336" s="540"/>
      <c r="AE336" s="540"/>
      <c r="AF336" s="540"/>
      <c r="AG336" s="540"/>
    </row>
    <row r="337" spans="1:33" s="527" customFormat="1">
      <c r="A337" s="531" t="s">
        <v>372</v>
      </c>
      <c r="B337" s="532" t="s">
        <v>1003</v>
      </c>
      <c r="C337" s="532" t="s">
        <v>1009</v>
      </c>
      <c r="D337" s="532" t="s">
        <v>370</v>
      </c>
      <c r="E337" s="532"/>
      <c r="F337" s="540"/>
      <c r="G337" s="540"/>
      <c r="H337" s="540"/>
      <c r="I337" s="540"/>
      <c r="J337" s="540"/>
      <c r="K337" s="540"/>
      <c r="L337" s="540"/>
      <c r="M337" s="540"/>
      <c r="N337" s="540"/>
      <c r="O337" s="540"/>
      <c r="P337" s="540"/>
      <c r="Q337" s="540"/>
      <c r="R337" s="540"/>
      <c r="S337" s="540"/>
      <c r="T337" s="540"/>
      <c r="U337" s="540"/>
      <c r="V337" s="540"/>
      <c r="W337" s="540"/>
      <c r="X337" s="540"/>
      <c r="Y337" s="540"/>
      <c r="Z337" s="540"/>
      <c r="AA337" s="540"/>
      <c r="AB337" s="540"/>
      <c r="AC337" s="540"/>
      <c r="AD337" s="540"/>
      <c r="AE337" s="540"/>
      <c r="AF337" s="540"/>
      <c r="AG337" s="540"/>
    </row>
    <row r="338" spans="1:33" s="527" customFormat="1">
      <c r="A338" s="531" t="s">
        <v>372</v>
      </c>
      <c r="B338" s="532" t="s">
        <v>1003</v>
      </c>
      <c r="C338" s="532" t="s">
        <v>1010</v>
      </c>
      <c r="D338" s="532" t="s">
        <v>370</v>
      </c>
      <c r="E338" s="532"/>
      <c r="F338" s="540"/>
      <c r="G338" s="540"/>
      <c r="H338" s="540"/>
      <c r="I338" s="540"/>
      <c r="J338" s="540"/>
      <c r="K338" s="540"/>
      <c r="L338" s="540"/>
      <c r="M338" s="540"/>
      <c r="N338" s="540"/>
      <c r="O338" s="540"/>
      <c r="P338" s="540"/>
      <c r="Q338" s="540"/>
      <c r="R338" s="540"/>
      <c r="S338" s="540"/>
      <c r="T338" s="540"/>
      <c r="U338" s="540"/>
      <c r="V338" s="540"/>
      <c r="W338" s="540"/>
      <c r="X338" s="540"/>
      <c r="Y338" s="540"/>
      <c r="Z338" s="540"/>
      <c r="AA338" s="540"/>
      <c r="AB338" s="540"/>
      <c r="AC338" s="540"/>
      <c r="AD338" s="540"/>
      <c r="AE338" s="540"/>
      <c r="AF338" s="540"/>
      <c r="AG338" s="540"/>
    </row>
    <row r="339" spans="1:33" s="527" customFormat="1">
      <c r="A339" s="531" t="s">
        <v>372</v>
      </c>
      <c r="B339" s="532" t="s">
        <v>1003</v>
      </c>
      <c r="C339" s="532" t="s">
        <v>1011</v>
      </c>
      <c r="D339" s="532" t="s">
        <v>370</v>
      </c>
      <c r="E339" s="532" t="s">
        <v>1012</v>
      </c>
      <c r="F339" s="540"/>
      <c r="G339" s="540"/>
      <c r="H339" s="540"/>
      <c r="I339" s="540"/>
      <c r="J339" s="540"/>
      <c r="K339" s="540"/>
      <c r="L339" s="540"/>
      <c r="M339" s="540"/>
      <c r="N339" s="540"/>
      <c r="O339" s="540"/>
      <c r="P339" s="540"/>
      <c r="Q339" s="540"/>
      <c r="R339" s="540"/>
      <c r="S339" s="540"/>
      <c r="T339" s="540"/>
      <c r="U339" s="540"/>
      <c r="V339" s="540"/>
      <c r="W339" s="540"/>
      <c r="X339" s="540"/>
      <c r="Y339" s="540"/>
      <c r="Z339" s="540"/>
      <c r="AA339" s="540"/>
      <c r="AB339" s="540"/>
      <c r="AC339" s="540"/>
      <c r="AD339" s="540"/>
      <c r="AE339" s="540"/>
      <c r="AF339" s="540"/>
      <c r="AG339" s="540"/>
    </row>
    <row r="340" spans="1:33" s="527" customFormat="1">
      <c r="A340" s="531" t="s">
        <v>372</v>
      </c>
      <c r="B340" s="532" t="s">
        <v>1003</v>
      </c>
      <c r="C340" s="532" t="s">
        <v>1013</v>
      </c>
      <c r="D340" s="532" t="s">
        <v>370</v>
      </c>
      <c r="E340" s="532"/>
      <c r="F340" s="540"/>
      <c r="G340" s="540"/>
      <c r="H340" s="540"/>
      <c r="I340" s="540"/>
      <c r="J340" s="540"/>
      <c r="K340" s="540"/>
      <c r="L340" s="540"/>
      <c r="M340" s="540"/>
      <c r="N340" s="540"/>
      <c r="O340" s="540"/>
      <c r="P340" s="540"/>
      <c r="Q340" s="540"/>
      <c r="R340" s="540"/>
      <c r="S340" s="540"/>
      <c r="T340" s="540"/>
      <c r="U340" s="540"/>
      <c r="V340" s="540"/>
      <c r="W340" s="540"/>
      <c r="X340" s="540"/>
      <c r="Y340" s="540"/>
      <c r="Z340" s="540"/>
      <c r="AA340" s="540"/>
      <c r="AB340" s="540"/>
      <c r="AC340" s="540"/>
      <c r="AD340" s="540"/>
      <c r="AE340" s="540"/>
      <c r="AF340" s="540"/>
      <c r="AG340" s="540"/>
    </row>
    <row r="341" spans="1:33" s="527" customFormat="1">
      <c r="A341" s="531" t="s">
        <v>372</v>
      </c>
      <c r="B341" s="532" t="s">
        <v>1003</v>
      </c>
      <c r="C341" s="532" t="s">
        <v>1014</v>
      </c>
      <c r="D341" s="532" t="s">
        <v>370</v>
      </c>
      <c r="E341" s="532"/>
      <c r="F341" s="540"/>
      <c r="G341" s="540"/>
      <c r="H341" s="540"/>
      <c r="I341" s="540"/>
      <c r="J341" s="540"/>
      <c r="K341" s="540"/>
      <c r="L341" s="540"/>
      <c r="M341" s="540"/>
      <c r="N341" s="540"/>
      <c r="O341" s="540"/>
      <c r="P341" s="540"/>
      <c r="Q341" s="540"/>
      <c r="R341" s="540"/>
      <c r="S341" s="540"/>
      <c r="T341" s="540"/>
      <c r="U341" s="540"/>
      <c r="V341" s="540"/>
      <c r="W341" s="540"/>
      <c r="X341" s="540"/>
      <c r="Y341" s="540"/>
      <c r="Z341" s="540"/>
      <c r="AA341" s="540"/>
      <c r="AB341" s="540"/>
      <c r="AC341" s="540"/>
      <c r="AD341" s="540"/>
      <c r="AE341" s="540"/>
      <c r="AF341" s="540"/>
      <c r="AG341" s="540"/>
    </row>
    <row r="342" spans="1:33" s="527" customFormat="1">
      <c r="A342" s="531" t="s">
        <v>372</v>
      </c>
      <c r="B342" s="532" t="s">
        <v>1003</v>
      </c>
      <c r="C342" s="532" t="s">
        <v>1015</v>
      </c>
      <c r="D342" s="532" t="s">
        <v>370</v>
      </c>
      <c r="E342" s="532"/>
      <c r="F342" s="540"/>
      <c r="G342" s="540"/>
      <c r="H342" s="540"/>
      <c r="I342" s="540"/>
      <c r="J342" s="540"/>
      <c r="K342" s="540"/>
      <c r="L342" s="540"/>
      <c r="M342" s="540"/>
      <c r="N342" s="540"/>
      <c r="O342" s="540"/>
      <c r="P342" s="540"/>
      <c r="Q342" s="540"/>
      <c r="R342" s="540"/>
      <c r="S342" s="540"/>
      <c r="T342" s="540"/>
      <c r="U342" s="540"/>
      <c r="V342" s="540"/>
      <c r="W342" s="540"/>
      <c r="X342" s="540"/>
      <c r="Y342" s="540"/>
      <c r="Z342" s="540"/>
      <c r="AA342" s="540"/>
      <c r="AB342" s="540"/>
      <c r="AC342" s="540"/>
      <c r="AD342" s="540"/>
      <c r="AE342" s="540"/>
      <c r="AF342" s="540"/>
      <c r="AG342" s="540"/>
    </row>
    <row r="343" spans="1:33" s="527" customFormat="1">
      <c r="A343" s="531" t="s">
        <v>372</v>
      </c>
      <c r="B343" s="532" t="s">
        <v>1003</v>
      </c>
      <c r="C343" s="532" t="s">
        <v>1016</v>
      </c>
      <c r="D343" s="532" t="s">
        <v>370</v>
      </c>
      <c r="E343" s="532"/>
      <c r="F343" s="540"/>
      <c r="G343" s="540"/>
      <c r="H343" s="540"/>
      <c r="I343" s="540"/>
      <c r="J343" s="540"/>
      <c r="K343" s="540"/>
      <c r="L343" s="540"/>
      <c r="M343" s="540"/>
      <c r="N343" s="540"/>
      <c r="O343" s="540"/>
      <c r="P343" s="540"/>
      <c r="Q343" s="540"/>
      <c r="R343" s="540"/>
      <c r="S343" s="540"/>
      <c r="T343" s="540"/>
      <c r="U343" s="540"/>
      <c r="V343" s="540"/>
      <c r="W343" s="540"/>
      <c r="X343" s="540"/>
      <c r="Y343" s="540"/>
      <c r="Z343" s="540"/>
      <c r="AA343" s="540"/>
      <c r="AB343" s="540"/>
      <c r="AC343" s="540"/>
      <c r="AD343" s="540"/>
      <c r="AE343" s="540"/>
      <c r="AF343" s="540"/>
      <c r="AG343" s="540"/>
    </row>
    <row r="344" spans="1:33" s="527" customFormat="1">
      <c r="A344" s="531" t="s">
        <v>372</v>
      </c>
      <c r="B344" s="532" t="s">
        <v>1003</v>
      </c>
      <c r="C344" s="532" t="s">
        <v>1017</v>
      </c>
      <c r="D344" s="532" t="s">
        <v>370</v>
      </c>
      <c r="E344" s="532"/>
      <c r="F344" s="540"/>
      <c r="G344" s="540"/>
      <c r="H344" s="540"/>
      <c r="I344" s="540"/>
      <c r="J344" s="540"/>
      <c r="K344" s="540"/>
      <c r="L344" s="540"/>
      <c r="M344" s="540"/>
      <c r="N344" s="540"/>
      <c r="O344" s="540"/>
      <c r="P344" s="540"/>
      <c r="Q344" s="540"/>
      <c r="R344" s="540"/>
      <c r="S344" s="540"/>
      <c r="T344" s="540"/>
      <c r="U344" s="540"/>
      <c r="V344" s="540"/>
      <c r="W344" s="540"/>
      <c r="X344" s="540"/>
      <c r="Y344" s="540"/>
      <c r="Z344" s="540"/>
      <c r="AA344" s="540"/>
      <c r="AB344" s="540"/>
      <c r="AC344" s="540"/>
      <c r="AD344" s="540"/>
      <c r="AE344" s="540"/>
      <c r="AF344" s="540"/>
      <c r="AG344" s="540"/>
    </row>
    <row r="345" spans="1:33" s="527" customFormat="1">
      <c r="A345" s="531" t="s">
        <v>372</v>
      </c>
      <c r="B345" s="532" t="s">
        <v>1003</v>
      </c>
      <c r="C345" s="532" t="s">
        <v>1018</v>
      </c>
      <c r="D345" s="532" t="s">
        <v>370</v>
      </c>
      <c r="E345" s="532"/>
      <c r="F345" s="540"/>
      <c r="G345" s="540"/>
      <c r="H345" s="540"/>
      <c r="I345" s="540"/>
      <c r="J345" s="540"/>
      <c r="K345" s="540"/>
      <c r="L345" s="540"/>
      <c r="M345" s="540"/>
      <c r="N345" s="540"/>
      <c r="O345" s="540"/>
      <c r="P345" s="540"/>
      <c r="Q345" s="540"/>
      <c r="R345" s="540"/>
      <c r="S345" s="540"/>
      <c r="T345" s="540"/>
      <c r="U345" s="540"/>
      <c r="V345" s="540"/>
      <c r="W345" s="540"/>
      <c r="X345" s="540"/>
      <c r="Y345" s="540"/>
      <c r="Z345" s="540"/>
      <c r="AA345" s="540"/>
      <c r="AB345" s="540"/>
      <c r="AC345" s="540"/>
      <c r="AD345" s="540"/>
      <c r="AE345" s="540"/>
      <c r="AF345" s="540"/>
      <c r="AG345" s="540"/>
    </row>
    <row r="346" spans="1:33" s="527" customFormat="1">
      <c r="A346" s="531" t="s">
        <v>372</v>
      </c>
      <c r="B346" s="532" t="s">
        <v>1003</v>
      </c>
      <c r="C346" s="532" t="s">
        <v>1019</v>
      </c>
      <c r="D346" s="532" t="s">
        <v>370</v>
      </c>
      <c r="E346" s="532"/>
      <c r="F346" s="540"/>
      <c r="G346" s="540"/>
      <c r="H346" s="540"/>
      <c r="I346" s="540"/>
      <c r="J346" s="540"/>
      <c r="K346" s="540"/>
      <c r="L346" s="540"/>
      <c r="M346" s="540"/>
      <c r="N346" s="540"/>
      <c r="O346" s="540"/>
      <c r="P346" s="540"/>
      <c r="Q346" s="540"/>
      <c r="R346" s="540"/>
      <c r="S346" s="540"/>
      <c r="T346" s="540"/>
      <c r="U346" s="540"/>
      <c r="V346" s="540"/>
      <c r="W346" s="540"/>
      <c r="X346" s="540"/>
      <c r="Y346" s="540"/>
      <c r="Z346" s="540"/>
      <c r="AA346" s="540"/>
      <c r="AB346" s="540"/>
      <c r="AC346" s="540"/>
      <c r="AD346" s="540"/>
      <c r="AE346" s="540"/>
      <c r="AF346" s="540"/>
      <c r="AG346" s="540"/>
    </row>
    <row r="347" spans="1:33" s="527" customFormat="1">
      <c r="A347" s="531" t="s">
        <v>372</v>
      </c>
      <c r="B347" s="532" t="s">
        <v>1003</v>
      </c>
      <c r="C347" s="532" t="s">
        <v>1020</v>
      </c>
      <c r="D347" s="532" t="s">
        <v>370</v>
      </c>
      <c r="E347" s="532"/>
      <c r="F347" s="540"/>
      <c r="G347" s="540"/>
      <c r="H347" s="540"/>
      <c r="I347" s="540"/>
      <c r="J347" s="540"/>
      <c r="K347" s="540"/>
      <c r="L347" s="540"/>
      <c r="M347" s="540"/>
      <c r="N347" s="540"/>
      <c r="O347" s="540"/>
      <c r="P347" s="540"/>
      <c r="Q347" s="540"/>
      <c r="R347" s="540"/>
      <c r="S347" s="540"/>
      <c r="T347" s="540"/>
      <c r="U347" s="540"/>
      <c r="V347" s="540"/>
      <c r="W347" s="540"/>
      <c r="X347" s="540"/>
      <c r="Y347" s="540"/>
      <c r="Z347" s="540"/>
      <c r="AA347" s="540"/>
      <c r="AB347" s="540"/>
      <c r="AC347" s="540"/>
      <c r="AD347" s="540"/>
      <c r="AE347" s="540"/>
      <c r="AF347" s="540"/>
      <c r="AG347" s="540"/>
    </row>
    <row r="348" spans="1:33" s="527" customFormat="1">
      <c r="A348" s="531" t="s">
        <v>372</v>
      </c>
      <c r="B348" s="532" t="s">
        <v>1003</v>
      </c>
      <c r="C348" s="532" t="s">
        <v>1021</v>
      </c>
      <c r="D348" s="532" t="s">
        <v>370</v>
      </c>
      <c r="E348" s="532"/>
      <c r="F348" s="540"/>
      <c r="G348" s="540"/>
      <c r="H348" s="540"/>
      <c r="I348" s="540"/>
      <c r="J348" s="540"/>
      <c r="K348" s="540"/>
      <c r="L348" s="540"/>
      <c r="M348" s="540"/>
      <c r="N348" s="540"/>
      <c r="O348" s="540"/>
      <c r="P348" s="540"/>
      <c r="Q348" s="540"/>
      <c r="R348" s="540"/>
      <c r="S348" s="540"/>
      <c r="T348" s="540"/>
      <c r="U348" s="540"/>
      <c r="V348" s="540"/>
      <c r="W348" s="540"/>
      <c r="X348" s="540"/>
      <c r="Y348" s="540"/>
      <c r="Z348" s="540"/>
      <c r="AA348" s="540"/>
      <c r="AB348" s="540"/>
      <c r="AC348" s="540"/>
      <c r="AD348" s="540"/>
      <c r="AE348" s="540"/>
      <c r="AF348" s="540"/>
      <c r="AG348" s="540"/>
    </row>
    <row r="349" spans="1:33" s="527" customFormat="1">
      <c r="A349" s="531" t="s">
        <v>372</v>
      </c>
      <c r="B349" s="532" t="s">
        <v>1003</v>
      </c>
      <c r="C349" s="532" t="s">
        <v>1022</v>
      </c>
      <c r="D349" s="532" t="s">
        <v>370</v>
      </c>
      <c r="E349" s="532"/>
      <c r="F349" s="540"/>
      <c r="G349" s="540"/>
      <c r="H349" s="540"/>
      <c r="I349" s="540"/>
      <c r="J349" s="540"/>
      <c r="K349" s="540"/>
      <c r="L349" s="540"/>
      <c r="M349" s="540"/>
      <c r="N349" s="540"/>
      <c r="O349" s="540"/>
      <c r="P349" s="540"/>
      <c r="Q349" s="540"/>
      <c r="R349" s="540"/>
      <c r="S349" s="540"/>
      <c r="T349" s="540"/>
      <c r="U349" s="540"/>
      <c r="V349" s="540"/>
      <c r="W349" s="540"/>
      <c r="X349" s="540"/>
      <c r="Y349" s="540"/>
      <c r="Z349" s="540"/>
      <c r="AA349" s="540"/>
      <c r="AB349" s="540"/>
      <c r="AC349" s="540"/>
      <c r="AD349" s="540"/>
      <c r="AE349" s="540"/>
      <c r="AF349" s="540"/>
      <c r="AG349" s="540"/>
    </row>
    <row r="350" spans="1:33" s="529" customFormat="1">
      <c r="A350" s="531" t="s">
        <v>372</v>
      </c>
      <c r="B350" s="532" t="s">
        <v>1003</v>
      </c>
      <c r="C350" s="532" t="s">
        <v>1023</v>
      </c>
      <c r="D350" s="532" t="s">
        <v>370</v>
      </c>
      <c r="E350" s="532" t="s">
        <v>1024</v>
      </c>
    </row>
    <row r="351" spans="1:33" s="529" customFormat="1">
      <c r="A351" s="531" t="s">
        <v>372</v>
      </c>
      <c r="B351" s="532" t="s">
        <v>1003</v>
      </c>
      <c r="C351" s="532" t="s">
        <v>1025</v>
      </c>
      <c r="D351" s="532" t="s">
        <v>370</v>
      </c>
      <c r="E351" s="532"/>
    </row>
    <row r="352" spans="1:33" s="529" customFormat="1">
      <c r="A352" s="531" t="s">
        <v>372</v>
      </c>
      <c r="B352" s="532" t="s">
        <v>1003</v>
      </c>
      <c r="C352" s="532" t="s">
        <v>1026</v>
      </c>
      <c r="D352" s="532" t="s">
        <v>370</v>
      </c>
      <c r="E352" s="532"/>
    </row>
    <row r="353" spans="1:33" s="529" customFormat="1">
      <c r="A353" s="531" t="s">
        <v>372</v>
      </c>
      <c r="B353" s="532" t="s">
        <v>1003</v>
      </c>
      <c r="C353" s="532" t="s">
        <v>1027</v>
      </c>
      <c r="D353" s="532" t="s">
        <v>370</v>
      </c>
      <c r="E353" s="532"/>
    </row>
    <row r="354" spans="1:33" s="529" customFormat="1">
      <c r="A354" s="531" t="s">
        <v>372</v>
      </c>
      <c r="B354" s="532" t="s">
        <v>1003</v>
      </c>
      <c r="C354" s="532" t="s">
        <v>1028</v>
      </c>
      <c r="D354" s="532" t="s">
        <v>370</v>
      </c>
      <c r="E354" s="532"/>
    </row>
    <row r="355" spans="1:33" s="529" customFormat="1">
      <c r="A355" s="531" t="s">
        <v>372</v>
      </c>
      <c r="B355" s="532" t="s">
        <v>1003</v>
      </c>
      <c r="C355" s="532" t="s">
        <v>1029</v>
      </c>
      <c r="D355" s="532" t="s">
        <v>370</v>
      </c>
      <c r="E355" s="532" t="s">
        <v>1030</v>
      </c>
    </row>
    <row r="356" spans="1:33" s="529" customFormat="1">
      <c r="A356" s="531" t="s">
        <v>372</v>
      </c>
      <c r="B356" s="532" t="s">
        <v>1003</v>
      </c>
      <c r="C356" s="532" t="s">
        <v>1031</v>
      </c>
      <c r="D356" s="532" t="s">
        <v>370</v>
      </c>
      <c r="E356" s="532"/>
    </row>
    <row r="357" spans="1:33" s="529" customFormat="1">
      <c r="A357" s="531" t="s">
        <v>372</v>
      </c>
      <c r="B357" s="532" t="s">
        <v>1003</v>
      </c>
      <c r="C357" s="532" t="s">
        <v>1032</v>
      </c>
      <c r="D357" s="532" t="s">
        <v>370</v>
      </c>
      <c r="E357" s="532"/>
    </row>
    <row r="358" spans="1:33" s="529" customFormat="1" ht="39.6">
      <c r="A358" s="540" t="s">
        <v>365</v>
      </c>
      <c r="B358" s="513" t="s">
        <v>1033</v>
      </c>
      <c r="C358" s="513" t="s">
        <v>1034</v>
      </c>
      <c r="D358" s="513" t="s">
        <v>953</v>
      </c>
      <c r="E358" s="513" t="s">
        <v>1035</v>
      </c>
    </row>
    <row r="359" spans="1:33" s="529" customFormat="1" ht="39.6">
      <c r="A359" s="531" t="s">
        <v>372</v>
      </c>
      <c r="B359" s="532" t="s">
        <v>1033</v>
      </c>
      <c r="C359" s="532" t="s">
        <v>1036</v>
      </c>
      <c r="D359" s="532" t="s">
        <v>953</v>
      </c>
      <c r="E359" s="532" t="s">
        <v>1037</v>
      </c>
    </row>
    <row r="360" spans="1:33" s="529" customFormat="1" ht="39.6">
      <c r="A360" s="531" t="s">
        <v>372</v>
      </c>
      <c r="B360" s="532" t="s">
        <v>1033</v>
      </c>
      <c r="C360" s="532" t="s">
        <v>1038</v>
      </c>
      <c r="D360" s="532" t="s">
        <v>953</v>
      </c>
      <c r="E360" s="532" t="s">
        <v>1039</v>
      </c>
    </row>
    <row r="361" spans="1:33" s="529" customFormat="1" ht="39.6">
      <c r="A361" s="531" t="s">
        <v>372</v>
      </c>
      <c r="B361" s="532" t="s">
        <v>1033</v>
      </c>
      <c r="C361" s="532" t="s">
        <v>1040</v>
      </c>
      <c r="D361" s="532" t="s">
        <v>953</v>
      </c>
      <c r="E361" s="532" t="s">
        <v>1041</v>
      </c>
    </row>
    <row r="362" spans="1:33" s="529" customFormat="1" ht="39.6">
      <c r="A362" s="531" t="s">
        <v>372</v>
      </c>
      <c r="B362" s="532" t="s">
        <v>1033</v>
      </c>
      <c r="C362" s="532" t="s">
        <v>1042</v>
      </c>
      <c r="D362" s="532" t="s">
        <v>953</v>
      </c>
      <c r="E362" s="532" t="s">
        <v>1043</v>
      </c>
    </row>
    <row r="363" spans="1:33" s="529" customFormat="1">
      <c r="A363" s="527" t="s">
        <v>365</v>
      </c>
      <c r="B363" s="514" t="s">
        <v>1044</v>
      </c>
      <c r="C363" s="514" t="s">
        <v>1044</v>
      </c>
      <c r="D363" s="514" t="s">
        <v>370</v>
      </c>
      <c r="E363" s="514"/>
    </row>
    <row r="364" spans="1:33" s="529" customFormat="1">
      <c r="A364" s="527" t="s">
        <v>365</v>
      </c>
      <c r="B364" s="514" t="s">
        <v>1045</v>
      </c>
      <c r="C364" s="514" t="s">
        <v>1045</v>
      </c>
      <c r="D364" s="514" t="s">
        <v>400</v>
      </c>
      <c r="E364" s="514"/>
    </row>
    <row r="365" spans="1:33" s="529" customFormat="1">
      <c r="A365" s="527" t="s">
        <v>365</v>
      </c>
      <c r="B365" s="514" t="s">
        <v>1046</v>
      </c>
      <c r="C365" s="514" t="s">
        <v>1046</v>
      </c>
      <c r="D365" s="514" t="s">
        <v>400</v>
      </c>
      <c r="E365" s="514"/>
    </row>
    <row r="366" spans="1:33" s="527" customFormat="1">
      <c r="A366" s="531" t="s">
        <v>372</v>
      </c>
      <c r="B366" s="532" t="s">
        <v>1046</v>
      </c>
      <c r="C366" s="532" t="s">
        <v>1047</v>
      </c>
      <c r="D366" s="532" t="s">
        <v>400</v>
      </c>
      <c r="E366" s="532"/>
      <c r="F366" s="540"/>
      <c r="G366" s="540"/>
      <c r="H366" s="540"/>
      <c r="I366" s="540"/>
      <c r="J366" s="540"/>
      <c r="K366" s="540"/>
      <c r="L366" s="540"/>
      <c r="M366" s="540"/>
      <c r="N366" s="540"/>
      <c r="O366" s="540"/>
      <c r="P366" s="540"/>
      <c r="Q366" s="540"/>
      <c r="R366" s="540"/>
      <c r="S366" s="540"/>
      <c r="T366" s="540"/>
      <c r="U366" s="540"/>
      <c r="V366" s="540"/>
      <c r="W366" s="540"/>
      <c r="X366" s="540"/>
      <c r="Y366" s="540"/>
      <c r="Z366" s="540"/>
      <c r="AA366" s="540"/>
      <c r="AB366" s="540"/>
      <c r="AC366" s="540"/>
      <c r="AD366" s="540"/>
      <c r="AE366" s="540"/>
      <c r="AF366" s="540"/>
      <c r="AG366" s="540"/>
    </row>
    <row r="367" spans="1:33" s="527" customFormat="1">
      <c r="A367" s="531" t="s">
        <v>372</v>
      </c>
      <c r="B367" s="532" t="s">
        <v>1046</v>
      </c>
      <c r="C367" s="532" t="s">
        <v>1048</v>
      </c>
      <c r="D367" s="532" t="s">
        <v>400</v>
      </c>
      <c r="E367" s="532"/>
      <c r="F367" s="540"/>
      <c r="G367" s="540"/>
      <c r="H367" s="540"/>
      <c r="I367" s="540"/>
      <c r="J367" s="540"/>
      <c r="K367" s="540"/>
      <c r="L367" s="540"/>
      <c r="M367" s="540"/>
      <c r="N367" s="540"/>
      <c r="O367" s="540"/>
      <c r="P367" s="540"/>
      <c r="Q367" s="540"/>
      <c r="R367" s="540"/>
      <c r="S367" s="540"/>
      <c r="T367" s="540"/>
      <c r="U367" s="540"/>
      <c r="V367" s="540"/>
      <c r="W367" s="540"/>
      <c r="X367" s="540"/>
      <c r="Y367" s="540"/>
      <c r="Z367" s="540"/>
      <c r="AA367" s="540"/>
      <c r="AB367" s="540"/>
      <c r="AC367" s="540"/>
      <c r="AD367" s="540"/>
      <c r="AE367" s="540"/>
      <c r="AF367" s="540"/>
      <c r="AG367" s="540"/>
    </row>
  </sheetData>
  <sheetProtection password="C3C4" sheet="1" objects="1" scenarios="1"/>
  <pageMargins left="0.5" right="0.5" top="0.5" bottom="0.5" header="0.5" footer="0.5"/>
  <pageSetup scale="69" fitToHeight="0" orientation="landscape" r:id="rId1"/>
  <headerFooter>
    <oddFooter>&amp;RRev 02-13-19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2:J23"/>
  <sheetViews>
    <sheetView showGridLines="0" showRowColHeaders="0" workbookViewId="0"/>
  </sheetViews>
  <sheetFormatPr defaultColWidth="9.109375" defaultRowHeight="15"/>
  <cols>
    <col min="1" max="1" width="11.44140625" style="2" customWidth="1"/>
    <col min="2" max="2" width="9.109375" style="2"/>
    <col min="3" max="3" width="19.5546875" style="2" customWidth="1"/>
    <col min="4" max="4" width="9.109375" style="2" customWidth="1"/>
    <col min="5" max="5" width="10.5546875" style="2" customWidth="1"/>
    <col min="6" max="6" width="9.88671875" style="2" customWidth="1"/>
    <col min="7" max="16384" width="9.109375" style="2"/>
  </cols>
  <sheetData>
    <row r="2" spans="1:10" ht="15.6">
      <c r="A2" s="111" t="s">
        <v>1049</v>
      </c>
    </row>
    <row r="4" spans="1:10" ht="15.6">
      <c r="A4" s="112" t="s">
        <v>1050</v>
      </c>
      <c r="B4" s="112"/>
      <c r="C4" s="112"/>
      <c r="D4" s="113"/>
    </row>
    <row r="6" spans="1:10" ht="15.6">
      <c r="A6" s="114" t="s">
        <v>1051</v>
      </c>
      <c r="B6" s="114"/>
      <c r="C6" s="114"/>
      <c r="D6" s="114"/>
    </row>
    <row r="8" spans="1:10" ht="15.6">
      <c r="A8" s="1" t="s">
        <v>1052</v>
      </c>
      <c r="B8" s="1"/>
      <c r="C8" s="1"/>
      <c r="D8" s="1"/>
      <c r="E8" s="1"/>
      <c r="F8" s="1"/>
      <c r="G8" s="1"/>
      <c r="H8" s="1"/>
      <c r="I8" s="1"/>
      <c r="J8" s="1"/>
    </row>
    <row r="9" spans="1:10" ht="21.75" customHeight="1">
      <c r="A9" s="573"/>
      <c r="B9" s="574"/>
      <c r="C9" s="574"/>
      <c r="D9" s="574"/>
    </row>
    <row r="10" spans="1:10" ht="21.75" customHeight="1">
      <c r="B10" s="2" t="s">
        <v>1053</v>
      </c>
    </row>
    <row r="11" spans="1:10" ht="21.75" customHeight="1">
      <c r="B11" s="2" t="s">
        <v>1054</v>
      </c>
      <c r="E11" s="115"/>
    </row>
    <row r="12" spans="1:10" ht="15.75" customHeight="1"/>
    <row r="13" spans="1:10" ht="14.25" customHeight="1"/>
    <row r="14" spans="1:10" ht="21.75" customHeight="1">
      <c r="A14" s="1" t="s">
        <v>1055</v>
      </c>
      <c r="B14" s="1"/>
      <c r="C14" s="1"/>
      <c r="D14" s="1"/>
      <c r="E14" s="1"/>
      <c r="F14" s="1"/>
      <c r="G14" s="1"/>
      <c r="H14" s="1"/>
      <c r="I14" s="1"/>
    </row>
    <row r="15" spans="1:10" ht="14.25" customHeight="1">
      <c r="A15" s="2" t="s">
        <v>1056</v>
      </c>
    </row>
    <row r="16" spans="1:10">
      <c r="B16" s="2" t="s">
        <v>1057</v>
      </c>
    </row>
    <row r="17" spans="1:8">
      <c r="C17" s="2" t="s">
        <v>1058</v>
      </c>
    </row>
    <row r="19" spans="1:8" ht="15.6">
      <c r="A19" s="1" t="s">
        <v>1059</v>
      </c>
      <c r="B19" s="1"/>
      <c r="C19" s="1"/>
      <c r="D19" s="1"/>
      <c r="E19" s="1"/>
      <c r="F19" s="1"/>
      <c r="G19" s="1"/>
      <c r="H19" s="1"/>
    </row>
    <row r="20" spans="1:8">
      <c r="B20" s="2" t="s">
        <v>1060</v>
      </c>
    </row>
    <row r="23" spans="1:8" ht="15.6">
      <c r="A23" s="1" t="s">
        <v>1061</v>
      </c>
      <c r="B23" s="1"/>
      <c r="C23" s="1"/>
      <c r="D23" s="1"/>
      <c r="E23" s="1"/>
      <c r="F23" s="1"/>
      <c r="G23" s="1"/>
      <c r="H23" s="1"/>
    </row>
  </sheetData>
  <sheetProtection algorithmName="SHA-512" hashValue="rccbUommPvLiLNjAPYhvcqbYsHAo6D1Asc6kc2wBw+Aloe5T1iE7OKOEOwqv2FDpEH7vSM7fBE6FM4FamjghIw==" saltValue="dvOSsV2rFb1k6cM3sAB+3w==" spinCount="100000" sheet="1"/>
  <customSheetViews>
    <customSheetView guid="{89953FCB-456A-4C2D-8912-B30825F750D3}">
      <selection activeCell="L13" sqref="L13"/>
      <pageMargins left="0" right="0" top="0" bottom="0" header="0" footer="0"/>
      <pageSetup orientation="landscape" r:id="rId1"/>
    </customSheetView>
  </customSheetViews>
  <mergeCells count="1">
    <mergeCell ref="A9:D9"/>
  </mergeCells>
  <pageMargins left="0.7" right="0.7"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54</vt:i4>
      </vt:variant>
    </vt:vector>
  </HeadingPairs>
  <TitlesOfParts>
    <vt:vector size="112" baseType="lpstr">
      <vt:lpstr>Carrie Notes</vt:lpstr>
      <vt:lpstr>Addl Info</vt:lpstr>
      <vt:lpstr>CAUTAU</vt:lpstr>
      <vt:lpstr>Allocations</vt:lpstr>
      <vt:lpstr>2019 New Form</vt:lpstr>
      <vt:lpstr>General Instructions</vt:lpstr>
      <vt:lpstr>Column Definitions</vt:lpstr>
      <vt:lpstr>Service Definitions</vt:lpstr>
      <vt:lpstr>NEW EBS INSTRUCTIONS</vt:lpstr>
      <vt:lpstr>I&amp;A Replacement Instructions</vt:lpstr>
      <vt:lpstr>Notes to GWAAR</vt:lpstr>
      <vt:lpstr>Certificate of Claim CAU</vt:lpstr>
      <vt:lpstr>Cert of Claim Legal Action</vt:lpstr>
      <vt:lpstr>Certificate of Claim TAU</vt:lpstr>
      <vt:lpstr>Cert. of Claim Menominee Tribe</vt:lpstr>
      <vt:lpstr>III-B - #11619</vt:lpstr>
      <vt:lpstr>III-B Other Services</vt:lpstr>
      <vt:lpstr>III-C 1 - #12019</vt:lpstr>
      <vt:lpstr>III-C2 - #12119</vt:lpstr>
      <vt:lpstr>NSIP 17-18 - #13218</vt:lpstr>
      <vt:lpstr>NSIP 18-19 - #13219</vt:lpstr>
      <vt:lpstr>III-D - #12419</vt:lpstr>
      <vt:lpstr>III-E - #12519</vt:lpstr>
      <vt:lpstr>Alzheimers FC Support - #122182</vt:lpstr>
      <vt:lpstr>Alzheimers FC Support - #12219</vt:lpstr>
      <vt:lpstr>SCS - #11519</vt:lpstr>
      <vt:lpstr>SCS Other Services</vt:lpstr>
      <vt:lpstr>Benefit Spec</vt:lpstr>
      <vt:lpstr>Ben Spec Other Repl - #73019</vt:lpstr>
      <vt:lpstr>Benefit Spec I&amp;A Repl #72019</vt:lpstr>
      <vt:lpstr>Elder Abuse - #12319</vt:lpstr>
      <vt:lpstr>EBS OCI Repl (SPAP)17-18-#13018</vt:lpstr>
      <vt:lpstr>EBS OCI Repl 17-18-#74009 75010</vt:lpstr>
      <vt:lpstr>EBS OCI Repl-Othr 17-18-#75009 </vt:lpstr>
      <vt:lpstr>EBS OCI Repl (SPAP)18-19-#13019</vt:lpstr>
      <vt:lpstr>EBS OCI Repl 18-19-#74009 75010</vt:lpstr>
      <vt:lpstr>EBS OCI Repl-Othr 18-19-#75009</vt:lpstr>
      <vt:lpstr>SHIP Original 17-18 - #12718</vt:lpstr>
      <vt:lpstr>SHIP Original 18-19 - #12719</vt:lpstr>
      <vt:lpstr>MIPPA 17-18 - #75018</vt:lpstr>
      <vt:lpstr>Other</vt:lpstr>
      <vt:lpstr>Other Services (2)</vt:lpstr>
      <vt:lpstr>MIPPA 18-19 - #75019</vt:lpstr>
      <vt:lpstr>Summary</vt:lpstr>
      <vt:lpstr>Summary Tribes</vt:lpstr>
      <vt:lpstr>Summary Other Svcs</vt:lpstr>
      <vt:lpstr>180A</vt:lpstr>
      <vt:lpstr>180B IIIB</vt:lpstr>
      <vt:lpstr>180B IIIC1</vt:lpstr>
      <vt:lpstr>180B IIIC2</vt:lpstr>
      <vt:lpstr>180B IIID</vt:lpstr>
      <vt:lpstr>180B IIIE Age 60+ or EOD</vt:lpstr>
      <vt:lpstr>180B IIIE 18 and under or Disbl</vt:lpstr>
      <vt:lpstr>180B Ind Sum</vt:lpstr>
      <vt:lpstr>SRT Main</vt:lpstr>
      <vt:lpstr>SRT IIIE Tab 1</vt:lpstr>
      <vt:lpstr>SRT IIIE Tab 2</vt:lpstr>
      <vt:lpstr>SRT Other</vt:lpstr>
      <vt:lpstr>CAU</vt:lpstr>
      <vt:lpstr>CAUTAU!CAUTAU</vt:lpstr>
      <vt:lpstr>CAUTAU</vt:lpstr>
      <vt:lpstr>ClaimMonth</vt:lpstr>
      <vt:lpstr>Date</vt:lpstr>
      <vt:lpstr>lookup</vt:lpstr>
      <vt:lpstr>men</vt:lpstr>
      <vt:lpstr>Menominee_Tribe</vt:lpstr>
      <vt:lpstr>mentribe</vt:lpstr>
      <vt:lpstr>MIPPA</vt:lpstr>
      <vt:lpstr>NSIP1</vt:lpstr>
      <vt:lpstr>NSIP2</vt:lpstr>
      <vt:lpstr>Allocations!Print_Area</vt:lpstr>
      <vt:lpstr>'Ben Spec Other Repl - #73019'!Print_Area</vt:lpstr>
      <vt:lpstr>'Benefit Spec'!Print_Area</vt:lpstr>
      <vt:lpstr>CAUTAU!Print_Area</vt:lpstr>
      <vt:lpstr>'Cert of Claim Legal Action'!Print_Area</vt:lpstr>
      <vt:lpstr>'Cert. of Claim Menominee Tribe'!Print_Area</vt:lpstr>
      <vt:lpstr>'Certificate of Claim CAU'!Print_Area</vt:lpstr>
      <vt:lpstr>'Certificate of Claim TAU'!Print_Area</vt:lpstr>
      <vt:lpstr>'EBS OCI Repl (SPAP)17-18-#13018'!Print_Area</vt:lpstr>
      <vt:lpstr>'EBS OCI Repl (SPAP)18-19-#13019'!Print_Area</vt:lpstr>
      <vt:lpstr>'EBS OCI Repl 17-18-#74009 75010'!Print_Area</vt:lpstr>
      <vt:lpstr>'EBS OCI Repl 18-19-#74009 75010'!Print_Area</vt:lpstr>
      <vt:lpstr>'EBS OCI Repl-Othr 17-18-#75009 '!Print_Area</vt:lpstr>
      <vt:lpstr>'EBS OCI Repl-Othr 18-19-#75009'!Print_Area</vt:lpstr>
      <vt:lpstr>'General Instructions'!Print_Area</vt:lpstr>
      <vt:lpstr>'I&amp;A Replacement Instructions'!Print_Area</vt:lpstr>
      <vt:lpstr>'III-B - #11619'!Print_Area</vt:lpstr>
      <vt:lpstr>'III-B Other Services'!Print_Area</vt:lpstr>
      <vt:lpstr>'III-C 1 - #12019'!Print_Area</vt:lpstr>
      <vt:lpstr>'III-C2 - #12119'!Print_Area</vt:lpstr>
      <vt:lpstr>'III-D - #12419'!Print_Area</vt:lpstr>
      <vt:lpstr>'III-E - #12519'!Print_Area</vt:lpstr>
      <vt:lpstr>'NSIP 17-18 - #13218'!Print_Area</vt:lpstr>
      <vt:lpstr>'NSIP 18-19 - #13219'!Print_Area</vt:lpstr>
      <vt:lpstr>'Other Services (2)'!Print_Area</vt:lpstr>
      <vt:lpstr>'SCS Other Services'!Print_Area</vt:lpstr>
      <vt:lpstr>'Service Definitions'!Print_Area</vt:lpstr>
      <vt:lpstr>'SHIP Original 17-18 - #12718'!Print_Area</vt:lpstr>
      <vt:lpstr>'SHIP Original 18-19 - #12719'!Print_Area</vt:lpstr>
      <vt:lpstr>Summary!Print_Area</vt:lpstr>
      <vt:lpstr>'Summary Other Svcs'!Print_Area</vt:lpstr>
      <vt:lpstr>'Summary Tribes'!Print_Area</vt:lpstr>
      <vt:lpstr>Allocations!Print_Titles</vt:lpstr>
      <vt:lpstr>CAUTAU!Print_Titles</vt:lpstr>
      <vt:lpstr>'Column Definitions'!Print_Titles</vt:lpstr>
      <vt:lpstr>'Service Definitions'!Print_Titles</vt:lpstr>
      <vt:lpstr>SHIP1</vt:lpstr>
      <vt:lpstr>SHIP2</vt:lpstr>
      <vt:lpstr>SPAP1</vt:lpstr>
      <vt:lpstr>SPAP2</vt:lpstr>
      <vt:lpstr>TAU</vt:lpstr>
      <vt:lpstr>TitleIII</vt:lpstr>
    </vt:vector>
  </TitlesOfParts>
  <Manager/>
  <Company>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weirsh</dc:creator>
  <cp:keywords/>
  <dc:description/>
  <cp:lastModifiedBy>Deb Mould</cp:lastModifiedBy>
  <cp:revision/>
  <dcterms:created xsi:type="dcterms:W3CDTF">2002-10-21T12:08:15Z</dcterms:created>
  <dcterms:modified xsi:type="dcterms:W3CDTF">2019-02-14T17:31:25Z</dcterms:modified>
  <cp:category/>
  <cp:contentStatus/>
</cp:coreProperties>
</file>